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omments1.xml" ContentType="application/vnd.openxmlformats-officedocument.spreadsheetml.comments+xml"/>
  <Override PartName="/xl/charts/chart7.xml" ContentType="application/vnd.openxmlformats-officedocument.drawingml.chart+xml"/>
  <Override PartName="/xl/drawings/drawing9.xml" ContentType="application/vnd.openxmlformats-officedocument.drawing+xml"/>
  <Override PartName="/xl/comments2.xml" ContentType="application/vnd.openxmlformats-officedocument.spreadsheetml.comments+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omments3.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omments4.xml" ContentType="application/vnd.openxmlformats-officedocument.spreadsheetml.comment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xml"/>
  <Override PartName="/xl/comments5.xml" ContentType="application/vnd.openxmlformats-officedocument.spreadsheetml.comments+xml"/>
  <Override PartName="/xl/charts/chart17.xml" ContentType="application/vnd.openxmlformats-officedocument.drawingml.chart+xml"/>
  <Override PartName="/xl/drawings/drawing16.xml" ContentType="application/vnd.openxmlformats-officedocument.drawing+xml"/>
  <Override PartName="/xl/comments6.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7.xml" ContentType="application/vnd.openxmlformats-officedocument.drawing+xml"/>
  <Override PartName="/xl/comments7.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8.xml" ContentType="application/vnd.openxmlformats-officedocument.drawing+xml"/>
  <Override PartName="/xl/comments8.xml" ContentType="application/vnd.openxmlformats-officedocument.spreadsheetml.comments+xml"/>
  <Override PartName="/xl/charts/chart26.xml" ContentType="application/vnd.openxmlformats-officedocument.drawingml.chart+xml"/>
  <Override PartName="/xl/drawings/drawing19.xml" ContentType="application/vnd.openxmlformats-officedocument.drawing+xml"/>
  <Override PartName="/xl/comments9.xml" ContentType="application/vnd.openxmlformats-officedocument.spreadsheetml.comments+xml"/>
  <Override PartName="/xl/charts/chart27.xml" ContentType="application/vnd.openxmlformats-officedocument.drawingml.chart+xml"/>
  <Override PartName="/xl/charts/chart28.xml" ContentType="application/vnd.openxmlformats-officedocument.drawingml.chart+xml"/>
  <Override PartName="/xl/drawings/drawing20.xml" ContentType="application/vnd.openxmlformats-officedocument.drawing+xml"/>
  <Override PartName="/xl/comments10.xml" ContentType="application/vnd.openxmlformats-officedocument.spreadsheetml.comment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21.xml" ContentType="application/vnd.openxmlformats-officedocument.drawing+xml"/>
  <Override PartName="/xl/charts/chart38.xml" ContentType="application/vnd.openxmlformats-officedocument.drawingml.chart+xml"/>
  <Override PartName="/xl/drawings/drawing22.xml" ContentType="application/vnd.openxmlformats-officedocument.drawing+xml"/>
  <Override PartName="/xl/charts/chart39.xml" ContentType="application/vnd.openxmlformats-officedocument.drawingml.chart+xml"/>
  <Override PartName="/xl/drawings/drawing23.xml" ContentType="application/vnd.openxmlformats-officedocument.drawing+xml"/>
  <Override PartName="/xl/charts/chart40.xml" ContentType="application/vnd.openxmlformats-officedocument.drawingml.chart+xml"/>
  <Override PartName="/xl/drawings/drawing24.xml" ContentType="application/vnd.openxmlformats-officedocument.drawing+xml"/>
  <Override PartName="/xl/comments11.xml" ContentType="application/vnd.openxmlformats-officedocument.spreadsheetml.comments+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4860" windowHeight="2970" tabRatio="827" activeTab="12"/>
  </bookViews>
  <sheets>
    <sheet name="Intro" sheetId="16" r:id="rId1"/>
    <sheet name="Average" sheetId="27" r:id="rId2"/>
    <sheet name="..." sheetId="26" r:id="rId3"/>
    <sheet name="Space Heating" sheetId="15" r:id="rId4"/>
    <sheet name="Water Heating" sheetId="19" r:id="rId5"/>
    <sheet name="Appliances" sheetId="18" r:id="rId6"/>
    <sheet name="Travel" sheetId="11" r:id="rId7"/>
    <sheet name="Flying" sheetId="12" r:id="rId8"/>
    <sheet name="Food" sheetId="13" r:id="rId9"/>
    <sheet name="Goods" sheetId="23" r:id="rId10"/>
    <sheet name="Your Elephant" sheetId="21" r:id="rId11"/>
    <sheet name="Next" sheetId="30" r:id="rId12"/>
    <sheet name="Steps" sheetId="5" r:id="rId13"/>
    <sheet name="REFS" sheetId="24" state="hidden" r:id="rId14"/>
    <sheet name="NAMES &amp; VALUES" sheetId="22" state="hidden" r:id="rId15"/>
    <sheet name="NOTES" sheetId="25" state="hidden" r:id="rId16"/>
    <sheet name="G&amp;S" sheetId="14" state="hidden" r:id="rId17"/>
    <sheet name="OVERVIEW" sheetId="17" state="hidden" r:id="rId18"/>
    <sheet name="Sheet1" sheetId="1" state="hidden" r:id="rId19"/>
    <sheet name="Sheet2" sheetId="2" state="hidden" r:id="rId20"/>
    <sheet name="Sheet3" sheetId="3" state="hidden" r:id="rId21"/>
    <sheet name="INCOME Elasticities" sheetId="6" state="hidden" r:id="rId22"/>
    <sheet name="Income el formulae" sheetId="7" state="hidden" r:id="rId23"/>
    <sheet name="Dwelling size" sheetId="10" state="hidden" r:id="rId24"/>
    <sheet name="Occupancy formulae" sheetId="8" state="hidden" r:id="rId25"/>
    <sheet name="AMENDMENT" sheetId="9" state="hidden" r:id="rId26"/>
    <sheet name="TRAVCALCS" sheetId="20" state="hidden" r:id="rId27"/>
  </sheets>
  <externalReferences>
    <externalReference r:id="rId28"/>
  </externalReferences>
  <definedNames>
    <definedName name="AC" localSheetId="1">Appliances!#REF!</definedName>
    <definedName name="AC">Appliances!#REF!</definedName>
    <definedName name="ACCEPT">'NAMES &amp; VALUES'!$O$30:$O$31</definedName>
    <definedName name="airc" localSheetId="1">Appliances!#REF!</definedName>
    <definedName name="airc">Appliances!#REF!</definedName>
    <definedName name="ALLGANDSPERCAP">'G&amp;S'!$O$23</definedName>
    <definedName name="ALWAYS">'NAMES &amp; VALUES'!$K$54:$K$55</definedName>
    <definedName name="APPERCAP">Appliances!$B$1</definedName>
    <definedName name="APPERHH">Appliances!$I$3</definedName>
    <definedName name="APPSIZE">Appliances!$P$4</definedName>
    <definedName name="AREAFAC">'Dwelling size'!$E$5</definedName>
    <definedName name="AUS">Flying!$C$12</definedName>
    <definedName name="AVAREA">'Dwelling size'!$C$5</definedName>
    <definedName name="AVEMFACTOR">Travel!$N$27</definedName>
    <definedName name="AVFL">'Your Elephant'!$E$8</definedName>
    <definedName name="AVFO">'Your Elephant'!$E$9</definedName>
    <definedName name="AVGS">'Your Elephant'!$E$10</definedName>
    <definedName name="AVHE">'Your Elephant'!$E$6</definedName>
    <definedName name="AVHH">Steps!$V$20</definedName>
    <definedName name="AVHYG">'Water Heating'!$N$5</definedName>
    <definedName name="AVKITCH">'Water Heating'!$N$4</definedName>
    <definedName name="AVMILES">Travel!$Q$5</definedName>
    <definedName name="AVMULTLIST">'NAMES &amp; VALUES'!$O$25:$O$28</definedName>
    <definedName name="AVPUB">'Your Elephant'!$E$11</definedName>
    <definedName name="AVROOM">'Dwelling size'!$D$5</definedName>
    <definedName name="AVTR">'Your Elephant'!$E$7</definedName>
    <definedName name="BDRNO">Next!$B$11</definedName>
    <definedName name="BIKE">Travel!$B$14</definedName>
    <definedName name="BIKEM">Travel!$Q$38</definedName>
    <definedName name="BRA" localSheetId="1">Goods!#REF!</definedName>
    <definedName name="BRA">Goods!#REF!</definedName>
    <definedName name="BSPERCAP">'G&amp;S'!$L$26</definedName>
    <definedName name="BSTOT">'G&amp;S'!$N$61</definedName>
    <definedName name="BUSCO">Steps!$AA$44</definedName>
    <definedName name="BUSVAL1">Steps!$AD$44</definedName>
    <definedName name="CAKE">Food!$D$11</definedName>
    <definedName name="CARMILES">'NAMES &amp; VALUES'!$K$72:$K$76</definedName>
    <definedName name="CARSIZE">'NAMES &amp; VALUES'!$K$61:$K$65</definedName>
    <definedName name="CARTYPE">'NAMES &amp; VALUES'!$K$67:$K$70</definedName>
    <definedName name="CCEM">Travel!$Q$13</definedName>
    <definedName name="CCO">Food!$Q$12</definedName>
    <definedName name="CHA">Goods!$R$23</definedName>
    <definedName name="CHUCK">Food!$D$9</definedName>
    <definedName name="clodry">Appliances!$K$9</definedName>
    <definedName name="CMEAT">Steps!$B$11</definedName>
    <definedName name="CMEAT2">'Your Elephant'!$Q$56</definedName>
    <definedName name="CMEAT3">Steps!$K$38</definedName>
    <definedName name="CONT">'Space Heating'!$D$5</definedName>
    <definedName name="CONTCOEF">'Space Heating'!$L$22</definedName>
    <definedName name="CONTROLS">'NAMES &amp; VALUES'!$K$40:$K$42</definedName>
    <definedName name="CRAP">Goods!$R$15</definedName>
    <definedName name="CRE" localSheetId="1">Goods!#REF!</definedName>
    <definedName name="CRE">Goods!#REF!</definedName>
    <definedName name="CRED">'G&amp;S'!$T$71:$T$73</definedName>
    <definedName name="CRED1">'NAMES &amp; VALUES'!$O$16:$O$18</definedName>
    <definedName name="CRED2">'G&amp;S'!$B$72</definedName>
    <definedName name="CRED3">'G&amp;S'!$B$73</definedName>
    <definedName name="DAGE">'NAMES &amp; VALUES'!$K$23:$K$25</definedName>
    <definedName name="DDM" localSheetId="1">'Your Elephant'!#REF!</definedName>
    <definedName name="DDM">'Your Elephant'!#REF!</definedName>
    <definedName name="DECARB">Steps!$B$5</definedName>
    <definedName name="DECARBUK" localSheetId="1">Steps!#REF!</definedName>
    <definedName name="DECARBUK">Steps!#REF!</definedName>
    <definedName name="DECARBW">Steps!$B$7</definedName>
    <definedName name="DECARBWORLD" localSheetId="1">Steps!#REF!</definedName>
    <definedName name="DECARBWORLD">Steps!#REF!</definedName>
    <definedName name="DIET">Food!$B$4</definedName>
    <definedName name="DP">'Space Heating'!$B$14</definedName>
    <definedName name="DPCOEF">'Space Heating'!$L$20</definedName>
    <definedName name="DRPRF">'NAMES &amp; VALUES'!$K$31:$K$33</definedName>
    <definedName name="DRY">Appliances!$B$5</definedName>
    <definedName name="DTYPE">'NAMES &amp; VALUES'!$K$15:$K$21</definedName>
    <definedName name="DWA">'Space Heating'!$B$8</definedName>
    <definedName name="DWACOEF">'Space Heating'!$L$16</definedName>
    <definedName name="DWT">'Space Heating'!$B$5</definedName>
    <definedName name="DWTCOEF">'Space Heating'!$L$13</definedName>
    <definedName name="EFF">Appliances!$B$8</definedName>
    <definedName name="effval">Appliances!$K$10</definedName>
    <definedName name="ES">Goods!$R$21</definedName>
    <definedName name="ETH">'G&amp;S'!$T$76:$T$78</definedName>
    <definedName name="ETH_1">'NAMES &amp; VALUES'!$O$21:$O$23</definedName>
    <definedName name="ETH_2">'G&amp;S'!$B$76</definedName>
    <definedName name="ETH_3">'G&amp;S'!$B$77</definedName>
    <definedName name="EUCAR" localSheetId="1">Flying!#REF!</definedName>
    <definedName name="EUCAR">Flying!#REF!</definedName>
    <definedName name="EUPUB" localSheetId="1">Flying!#REF!</definedName>
    <definedName name="EUPUB">Flying!#REF!</definedName>
    <definedName name="FARM">Food!$S$35</definedName>
    <definedName name="FARMPERCAP">Food!$M$2</definedName>
    <definedName name="FARMPROP">Food!$O$41</definedName>
    <definedName name="FEAST">Flying!$C$11</definedName>
    <definedName name="FLIST" localSheetId="1">'Your Elephant'!#REF!</definedName>
    <definedName name="FLIST">'Your Elephant'!#REF!</definedName>
    <definedName name="FLYEMPERCAP">Flying!$B$1</definedName>
    <definedName name="FLYFACTOR">Flying!$N$10</definedName>
    <definedName name="FLYTOT">Flying!$J$15</definedName>
    <definedName name="FOODCO">Steps!$AA$52</definedName>
    <definedName name="FOODEM">Food!$N$3</definedName>
    <definedName name="FOODFR">'NAMES &amp; VALUES'!$K$78:$K$81</definedName>
    <definedName name="FOODPERCAP">Food!$G$2</definedName>
    <definedName name="FOODVAL1">Steps!$AD$52</definedName>
    <definedName name="FORCED" localSheetId="1">Steps!#REF!</definedName>
    <definedName name="FORCED">Steps!#REF!</definedName>
    <definedName name="FREE">Goods!$R$19</definedName>
    <definedName name="GCO">Food!$Q$9</definedName>
    <definedName name="GEL">Appliances!$D$8</definedName>
    <definedName name="GELVAL">Appliances!$K$11</definedName>
    <definedName name="GFAC">Food!$Q$13</definedName>
    <definedName name="GLUT">Food!$D$8</definedName>
    <definedName name="GOO">Goods!$M$27</definedName>
    <definedName name="GOODSCO">Steps!$AA$48</definedName>
    <definedName name="GOODSPERCAP">'G&amp;S'!$L$23</definedName>
    <definedName name="GOODSTOT">'G&amp;S'!$N$48</definedName>
    <definedName name="GOODSVAL1">Steps!$AD$48</definedName>
    <definedName name="GYO">Food!$D$12</definedName>
    <definedName name="HC">'Space Heating'!$D$11</definedName>
    <definedName name="HCCOEF">'Space Heating'!$L$24</definedName>
    <definedName name="HECO">Steps!$AA$54</definedName>
    <definedName name="HEPERCAP">'Your Elephant'!$H$6</definedName>
    <definedName name="HEVAL1">Steps!$AD$54</definedName>
    <definedName name="HHSH">'Space Heating'!$K$2</definedName>
    <definedName name="HHTRAFUELS">Travel!$D$32</definedName>
    <definedName name="HYG">'Water Heating'!$Q$5</definedName>
    <definedName name="INC">'NAMES &amp; VALUES'!$K$8:$K$13</definedName>
    <definedName name="INCEM">Steps!$V$23</definedName>
    <definedName name="INCOME">Next!$B$20</definedName>
    <definedName name="INCSCORE">Steps!$V$22</definedName>
    <definedName name="INS">'Space Heating'!$B$11</definedName>
    <definedName name="INSCOEF">'Space Heating'!$L$18</definedName>
    <definedName name="INSTANT">Steps!$U$67</definedName>
    <definedName name="INSUL">'NAMES &amp; VALUES'!$K$27:$K$29</definedName>
    <definedName name="INV">Goods!$Q$24</definedName>
    <definedName name="KITCH">'Water Heating'!$Q$4</definedName>
    <definedName name="LIFTEM">Travel!$Q$14</definedName>
    <definedName name="LONGHOURS">Travel!$B$20</definedName>
    <definedName name="Lots" localSheetId="1">'Your Elephant'!#REF!</definedName>
    <definedName name="Lots">'Your Elephant'!#REF!</definedName>
    <definedName name="MCC">Travel!$P$13</definedName>
    <definedName name="MCOEFF1">Travel!$P$10</definedName>
    <definedName name="MCOEFF2">Travel!$P$11</definedName>
    <definedName name="MCOEFF3">Travel!$P$12</definedName>
    <definedName name="MENA">Flying!$C$8</definedName>
    <definedName name="MILES1">Travel!$E$7</definedName>
    <definedName name="MILES2">Travel!$E$8</definedName>
    <definedName name="MILES3">Travel!$E$9</definedName>
    <definedName name="MILESCC">Travel!$E$10</definedName>
    <definedName name="MILESLIFT">Travel!$E$11</definedName>
    <definedName name="MLIFT">Travel!$P$14</definedName>
    <definedName name="MOBILE" localSheetId="1">Appliances!#REF!</definedName>
    <definedName name="MOBILE">Appliances!#REF!</definedName>
    <definedName name="MULT" localSheetId="1">Steps!#REF!</definedName>
    <definedName name="MULT">Steps!#REF!</definedName>
    <definedName name="MULT1">'[1]NAMES &amp; VALUES'!$O$55:$O$58</definedName>
    <definedName name="mult2">'Your Elephant'!$Q$59</definedName>
    <definedName name="MULTIPLIER">Flying!$P$10</definedName>
    <definedName name="NEGVAL">Steps!$S$63</definedName>
    <definedName name="NFOODEM">Food!$N$4</definedName>
    <definedName name="NWEU">Flying!$C$6</definedName>
    <definedName name="OCCNORM">Steps!$V$27</definedName>
    <definedName name="OCCSCORE">Steps!$V$25</definedName>
    <definedName name="OCO">Food!$Q$11</definedName>
    <definedName name="OFF" localSheetId="1">Appliances!#REF!</definedName>
    <definedName name="OFF">Appliances!#REF!</definedName>
    <definedName name="OFFSET">Steps!$B$17</definedName>
    <definedName name="offval" localSheetId="1">Appliances!#REF!</definedName>
    <definedName name="offval">Appliances!#REF!</definedName>
    <definedName name="OUT">Food!$D$10</definedName>
    <definedName name="PANDM2">Travel!$S$15</definedName>
    <definedName name="PEOPLE">Next!$B$15</definedName>
    <definedName name="PFP">'Your Elephant'!$D$14</definedName>
    <definedName name="PHONE">Goods!$R$17</definedName>
    <definedName name="POWERSH">'Water Heating'!$H$9</definedName>
    <definedName name="PREFARM">Food!$S$30</definedName>
    <definedName name="PREFOOD">Food!$S$28</definedName>
    <definedName name="PREP">Food!$U$8</definedName>
    <definedName name="PREPROC">Food!$S$31</definedName>
    <definedName name="PREWASTE">Food!$S$32</definedName>
    <definedName name="_xlnm.Print_Area" localSheetId="6">Travel!$B$22</definedName>
    <definedName name="PROC">Food!$S$36</definedName>
    <definedName name="PROCPERCAP" localSheetId="1">Food!#REF!</definedName>
    <definedName name="PROCPERCAP">Food!#REF!</definedName>
    <definedName name="PUBCO">Steps!$AA$43</definedName>
    <definedName name="PUBT">Travel!$K$32</definedName>
    <definedName name="PUBT2">Travel!$T$15</definedName>
    <definedName name="PUBTRHOURS">Travel!$B$17</definedName>
    <definedName name="PUBVAL1">Steps!$AD$43</definedName>
    <definedName name="PURCHMAINT">Travel!$I$32</definedName>
    <definedName name="PV">Appliances!$B$11</definedName>
    <definedName name="PVVAL">Appliances!$K$12</definedName>
    <definedName name="qual">'G&amp;S'!$T$66:$T$68</definedName>
    <definedName name="QUAL1">'NAMES &amp; VALUES'!$O$11:$O$13</definedName>
    <definedName name="QUAL2">'G&amp;S'!$B$68</definedName>
    <definedName name="QUAL3">'G&amp;S'!$B$69</definedName>
    <definedName name="RATING">'NAMES &amp; VALUES'!$K$57:$K$59</definedName>
    <definedName name="RCO">Food!$Q$7</definedName>
    <definedName name="READY">Food!$D$6</definedName>
    <definedName name="REC">Goods!$R$20</definedName>
    <definedName name="RECYC">'G&amp;S'!$T$60:$T$62</definedName>
    <definedName name="RECYC1">'NAMES &amp; VALUES'!$O$6:$O$8</definedName>
    <definedName name="RECYC2">'G&amp;S'!$B$64</definedName>
    <definedName name="RECYC3">'G&amp;S'!$B$65</definedName>
    <definedName name="RED">Food!$N$28</definedName>
    <definedName name="REP">Goods!$R$16</definedName>
    <definedName name="ROOMNO">'Space Heating'!$L$8</definedName>
    <definedName name="S1COEFF">Travel!$N$10</definedName>
    <definedName name="S2COEFF">Travel!$N$11</definedName>
    <definedName name="S3COEFF">Travel!$N$12</definedName>
    <definedName name="SA">Flying!$C$10</definedName>
    <definedName name="SCCCOEFF">Travel!$N$13</definedName>
    <definedName name="SCO">Food!$Q$8</definedName>
    <definedName name="SEAS">Food!$D$7</definedName>
    <definedName name="SEC">Goods!$R$18</definedName>
    <definedName name="sechome1" localSheetId="1">Steps!#REF!</definedName>
    <definedName name="sechome1">Steps!#REF!</definedName>
    <definedName name="SECHOME2" localSheetId="1">Steps!#REF!</definedName>
    <definedName name="SECHOME2">Steps!#REF!</definedName>
    <definedName name="SEEU">Flying!$C$7</definedName>
    <definedName name="sequ">'NAMES &amp; VALUES'!$O$33:$O$36</definedName>
    <definedName name="SEQUCRED">Steps!$R$57</definedName>
    <definedName name="SEQUESTRATION" localSheetId="1">Steps!#REF!</definedName>
    <definedName name="SEQUESTRATION">Steps!#REF!</definedName>
    <definedName name="SEQUESTRATIONV">Steps!$B$13</definedName>
    <definedName name="SER">Goods!$N$27</definedName>
    <definedName name="SERVCO">Steps!$AA$47</definedName>
    <definedName name="SERVPERCAP">'G&amp;S'!$L$25</definedName>
    <definedName name="SERVTOT">'G&amp;S'!$N$58</definedName>
    <definedName name="SERVVAL1">Steps!$AD$47</definedName>
    <definedName name="SH" localSheetId="1">Goods!#REF!</definedName>
    <definedName name="SH">Goods!#REF!</definedName>
    <definedName name="SHAR" localSheetId="1">Goods!#REF!</definedName>
    <definedName name="SHAR">Goods!#REF!</definedName>
    <definedName name="SHO">Goods!$R$22</definedName>
    <definedName name="SHOWER">'NAMES &amp; VALUES'!$K$44:$K$45</definedName>
    <definedName name="SHOWMIN">'Water Heating'!$B$8</definedName>
    <definedName name="SHOWNO" localSheetId="1">'Water Heating'!#REF!</definedName>
    <definedName name="SHOWNO">'Water Heating'!#REF!</definedName>
    <definedName name="SHOWNUM">'Water Heating'!$B$11</definedName>
    <definedName name="SHOWTYP">'Water Heating'!$B$5</definedName>
    <definedName name="SHPERCAP">'Space Heating'!$B$1</definedName>
    <definedName name="SIZE1">Travel!$C$7</definedName>
    <definedName name="SIZE2">Travel!$C$8</definedName>
    <definedName name="SIZE3">Travel!$C$9</definedName>
    <definedName name="SIZECC">Travel!$C$10</definedName>
    <definedName name="SIZELIFT">Travel!$C$11</definedName>
    <definedName name="SIZEST">'Space Heating'!$L$10</definedName>
    <definedName name="SLIFTCOEFF">Travel!$N$14</definedName>
    <definedName name="SOL">'Water Heating'!$Q$6</definedName>
    <definedName name="SOLARW">'Water Heating'!$H$16</definedName>
    <definedName name="STUFF">Goods!$L$2</definedName>
    <definedName name="SUM">Steps!$AD$55</definedName>
    <definedName name="SURFPERCAP" localSheetId="1">Travel!#REF!</definedName>
    <definedName name="SURFPERCAP">Travel!#REF!</definedName>
    <definedName name="swh">'Water Heating'!$B$14</definedName>
    <definedName name="SWOFF">Appliances!$D$5</definedName>
    <definedName name="SWOFFVAL">Appliances!$K$13</definedName>
    <definedName name="TCCCOEFF">Travel!$O$13</definedName>
    <definedName name="TCOEFF1">Travel!$O$10</definedName>
    <definedName name="TCOEFF2">Travel!$O$11</definedName>
    <definedName name="TCOEFF3">Travel!$O$12</definedName>
    <definedName name="TFA">'Space Heating'!$L$9</definedName>
    <definedName name="THERM">'Space Heating'!$D$8</definedName>
    <definedName name="THERMCOEF">'Space Heating'!$L$23</definedName>
    <definedName name="TIM">'NAMES &amp; VALUES'!$K$35:$K$37</definedName>
    <definedName name="TLIFTCOEFF">Travel!$O$14</definedName>
    <definedName name="TRAFUEL2">Travel!$R$15</definedName>
    <definedName name="TRAFUELS">Travel!$G$32</definedName>
    <definedName name="TRAV">Travel!$P$3</definedName>
    <definedName name="TRAVCO">Steps!$AA$53</definedName>
    <definedName name="TRAVPERCAP" localSheetId="1">Travel!#REF!</definedName>
    <definedName name="TRAVPERCAP">Travel!#REF!</definedName>
    <definedName name="TRAVVAL1">Steps!$AD$53</definedName>
    <definedName name="TUMBLE">'NAMES &amp; VALUES'!$K$51:$K$52</definedName>
    <definedName name="TV" localSheetId="1">Appliances!#REF!</definedName>
    <definedName name="TV">Appliances!#REF!</definedName>
    <definedName name="TVKIND">Appliances!$I$10</definedName>
    <definedName name="TVSORT">'NAMES &amp; VALUES'!$K$47:$K$49</definedName>
    <definedName name="TYPE1">Travel!$D$7</definedName>
    <definedName name="TYPE2">Travel!$D$8</definedName>
    <definedName name="TYPE3">Travel!$D$9</definedName>
    <definedName name="TYPECC">Travel!$D$10</definedName>
    <definedName name="TYPELIFT">Travel!$D$11</definedName>
    <definedName name="UKCAR" localSheetId="1">Flying!#REF!</definedName>
    <definedName name="UKCAR">Flying!#REF!</definedName>
    <definedName name="UKO">Flying!$C$5</definedName>
    <definedName name="UKPUB" localSheetId="1">Flying!#REF!</definedName>
    <definedName name="UKPUB">Flying!#REF!</definedName>
    <definedName name="USA">Flying!$C$9</definedName>
    <definedName name="V1EM">Travel!$Q$10</definedName>
    <definedName name="V2EM">Travel!$Q$11</definedName>
    <definedName name="V3EM">Travel!$Q$12</definedName>
    <definedName name="VEHC" localSheetId="1">Travel!#REF!</definedName>
    <definedName name="VEHC">Travel!#REF!</definedName>
    <definedName name="WASTE">Food!$S$37</definedName>
    <definedName name="WASTEPERCAP" localSheetId="1">Food!#REF!</definedName>
    <definedName name="WASTEPERCAP">Food!#REF!</definedName>
    <definedName name="WCO">Food!$Q$10</definedName>
    <definedName name="WHITE">Food!$N$29</definedName>
    <definedName name="WHPERCAP">'Water Heating'!$B$1</definedName>
    <definedName name="YES">'NAMES &amp; VALUES'!$K$4:$K$5</definedName>
  </definedNames>
  <calcPr calcId="144525"/>
</workbook>
</file>

<file path=xl/calcChain.xml><?xml version="1.0" encoding="utf-8"?>
<calcChain xmlns="http://schemas.openxmlformats.org/spreadsheetml/2006/main">
  <c r="J56" i="14" l="1"/>
  <c r="U17" i="9"/>
  <c r="T17" i="9"/>
  <c r="S17" i="9"/>
  <c r="R17" i="9"/>
  <c r="C22" i="18" l="1"/>
  <c r="C23" i="18" s="1"/>
  <c r="E14" i="21"/>
  <c r="D11" i="21" l="1"/>
  <c r="T15" i="11" l="1"/>
  <c r="R23" i="23"/>
  <c r="R22" i="23"/>
  <c r="R21" i="23"/>
  <c r="R20" i="23"/>
  <c r="R19" i="23"/>
  <c r="R18" i="23"/>
  <c r="R17" i="23"/>
  <c r="R16" i="23"/>
  <c r="R15" i="23"/>
  <c r="N4" i="13" l="1"/>
  <c r="Q8" i="13"/>
  <c r="Q10" i="13"/>
  <c r="Q7" i="13"/>
  <c r="Q13" i="13"/>
  <c r="Q11" i="13"/>
  <c r="N3" i="13"/>
  <c r="Q12" i="13"/>
  <c r="Q9" i="13"/>
  <c r="B1" i="13" l="1"/>
  <c r="K13" i="18"/>
  <c r="O14" i="11" l="1"/>
  <c r="O12" i="11"/>
  <c r="O11" i="11"/>
  <c r="O10" i="11"/>
  <c r="O13" i="11"/>
  <c r="T13" i="11"/>
  <c r="L16" i="15"/>
  <c r="K12" i="18"/>
  <c r="L22" i="15"/>
  <c r="R57" i="5" l="1"/>
  <c r="J14" i="12"/>
  <c r="J13" i="12"/>
  <c r="J12" i="12"/>
  <c r="J11" i="12"/>
  <c r="J10" i="12"/>
  <c r="J9" i="12"/>
  <c r="J8" i="12"/>
  <c r="J7" i="12"/>
  <c r="D32" i="13" l="1"/>
  <c r="D33" i="13"/>
  <c r="D34" i="13"/>
  <c r="D35" i="13"/>
  <c r="D36" i="13"/>
  <c r="D37" i="13"/>
  <c r="D38" i="13"/>
  <c r="D39" i="13"/>
  <c r="Q38" i="11"/>
  <c r="P14" i="11"/>
  <c r="P13" i="11"/>
  <c r="P12" i="11"/>
  <c r="P11" i="11"/>
  <c r="P10" i="11"/>
  <c r="H16" i="19"/>
  <c r="L20" i="15"/>
  <c r="L18" i="15"/>
  <c r="V22" i="5" l="1"/>
  <c r="S63" i="5" s="1"/>
  <c r="D12" i="21" s="1"/>
  <c r="V27" i="5"/>
  <c r="L28" i="13"/>
  <c r="N28" i="13" s="1"/>
  <c r="L29" i="13"/>
  <c r="N29" i="13" s="1"/>
  <c r="L30" i="13"/>
  <c r="N30" i="13" s="1"/>
  <c r="L32" i="13"/>
  <c r="L38" i="13"/>
  <c r="N38" i="13" s="1"/>
  <c r="L36" i="13"/>
  <c r="N36" i="13" s="1"/>
  <c r="L34" i="13"/>
  <c r="N34" i="13" s="1"/>
  <c r="L33" i="13"/>
  <c r="L37" i="13"/>
  <c r="N37" i="13" s="1"/>
  <c r="L39" i="13"/>
  <c r="N39" i="13" s="1"/>
  <c r="N32" i="13"/>
  <c r="N33" i="13"/>
  <c r="Q56" i="21"/>
  <c r="N10" i="11"/>
  <c r="N13" i="11"/>
  <c r="K9" i="18"/>
  <c r="Q6" i="19"/>
  <c r="T10" i="11"/>
  <c r="C80" i="14"/>
  <c r="I56" i="14"/>
  <c r="K11" i="18"/>
  <c r="F36" i="14"/>
  <c r="G36" i="14" s="1"/>
  <c r="F37" i="14"/>
  <c r="G37" i="14" s="1"/>
  <c r="F38" i="14"/>
  <c r="G38" i="14" s="1"/>
  <c r="F39" i="14"/>
  <c r="G39" i="14" s="1"/>
  <c r="F40" i="14"/>
  <c r="G40" i="14" s="1"/>
  <c r="F41" i="14"/>
  <c r="G41" i="14" s="1"/>
  <c r="F42" i="14"/>
  <c r="G42" i="14" s="1"/>
  <c r="F43" i="14"/>
  <c r="G43" i="14" s="1"/>
  <c r="F44" i="14"/>
  <c r="G44" i="14" s="1"/>
  <c r="F45" i="14"/>
  <c r="G45" i="14" s="1"/>
  <c r="F46" i="14"/>
  <c r="G46" i="14" s="1"/>
  <c r="F47" i="14"/>
  <c r="G47" i="14" s="1"/>
  <c r="F48" i="14"/>
  <c r="G48" i="14" s="1"/>
  <c r="F49" i="14"/>
  <c r="G49" i="14" s="1"/>
  <c r="F50" i="14"/>
  <c r="G50" i="14" s="1"/>
  <c r="F51" i="14"/>
  <c r="G51" i="14" s="1"/>
  <c r="F52" i="14"/>
  <c r="G52" i="14" s="1"/>
  <c r="F53" i="14"/>
  <c r="G53" i="14" s="1"/>
  <c r="F54" i="14"/>
  <c r="G54" i="14" s="1"/>
  <c r="F35" i="14"/>
  <c r="G35" i="14" s="1"/>
  <c r="I57" i="14"/>
  <c r="J54" i="14"/>
  <c r="J52" i="14"/>
  <c r="J40" i="14"/>
  <c r="J35" i="14"/>
  <c r="D41" i="13"/>
  <c r="C41" i="13"/>
  <c r="P10" i="12"/>
  <c r="AM14" i="2"/>
  <c r="H9" i="19"/>
  <c r="C30" i="22"/>
  <c r="X23" i="21"/>
  <c r="X21" i="21"/>
  <c r="V17" i="21"/>
  <c r="V16" i="21"/>
  <c r="V15" i="21"/>
  <c r="V14" i="21"/>
  <c r="V13" i="21"/>
  <c r="V12" i="21"/>
  <c r="V11" i="21"/>
  <c r="V7" i="21"/>
  <c r="V6" i="21"/>
  <c r="X19" i="21"/>
  <c r="X22" i="21" s="1"/>
  <c r="U11" i="21"/>
  <c r="W11" i="21" s="1"/>
  <c r="B69" i="14"/>
  <c r="R30" i="21"/>
  <c r="B77" i="14"/>
  <c r="B73" i="14"/>
  <c r="B65" i="14"/>
  <c r="AK30" i="2"/>
  <c r="J48" i="14"/>
  <c r="J46" i="14"/>
  <c r="J49" i="14"/>
  <c r="J53" i="14"/>
  <c r="J51" i="14"/>
  <c r="J47" i="14"/>
  <c r="J37" i="14"/>
  <c r="J50" i="14"/>
  <c r="J41" i="14"/>
  <c r="J43" i="14"/>
  <c r="J45" i="14"/>
  <c r="J42" i="14"/>
  <c r="J38" i="14"/>
  <c r="J44" i="14"/>
  <c r="J36" i="14"/>
  <c r="J39" i="14"/>
  <c r="L31" i="13"/>
  <c r="N31" i="13" s="1"/>
  <c r="L35" i="13"/>
  <c r="N35" i="13" s="1"/>
  <c r="Q5" i="12"/>
  <c r="T12" i="11"/>
  <c r="T11" i="11"/>
  <c r="R35" i="20"/>
  <c r="R34" i="20"/>
  <c r="R33" i="20"/>
  <c r="K32" i="20"/>
  <c r="I32" i="20"/>
  <c r="G32" i="20"/>
  <c r="E32" i="20"/>
  <c r="J29" i="20"/>
  <c r="I29" i="20"/>
  <c r="H29" i="20"/>
  <c r="G29" i="20"/>
  <c r="F29" i="20"/>
  <c r="O26" i="20"/>
  <c r="H26" i="20"/>
  <c r="H27" i="20" s="1"/>
  <c r="O25" i="20"/>
  <c r="K25" i="20"/>
  <c r="J25" i="20"/>
  <c r="I25" i="20"/>
  <c r="H25" i="20"/>
  <c r="G25" i="20"/>
  <c r="G26" i="20" s="1"/>
  <c r="G27" i="20" s="1"/>
  <c r="F25" i="20"/>
  <c r="F26" i="20" s="1"/>
  <c r="F27" i="20" s="1"/>
  <c r="O24" i="20"/>
  <c r="AA17" i="20"/>
  <c r="AB13" i="20" s="1"/>
  <c r="Y17" i="20"/>
  <c r="X17" i="20"/>
  <c r="W17" i="20"/>
  <c r="V17" i="20"/>
  <c r="U17" i="20"/>
  <c r="AA12" i="20"/>
  <c r="Z12" i="20"/>
  <c r="Y12" i="20"/>
  <c r="X12" i="20"/>
  <c r="W12" i="20"/>
  <c r="V12" i="20"/>
  <c r="U12" i="20"/>
  <c r="O6" i="20"/>
  <c r="P5" i="20"/>
  <c r="P4" i="20"/>
  <c r="O4" i="20"/>
  <c r="K10" i="18"/>
  <c r="L13" i="15"/>
  <c r="O19" i="10"/>
  <c r="P19" i="10" s="1"/>
  <c r="O26" i="10"/>
  <c r="P26" i="10" s="1"/>
  <c r="Q19" i="10"/>
  <c r="N18" i="10"/>
  <c r="O18" i="10" s="1"/>
  <c r="P18" i="10" s="1"/>
  <c r="L8" i="15"/>
  <c r="L9" i="15" s="1"/>
  <c r="N19" i="10"/>
  <c r="N20" i="10"/>
  <c r="O20" i="10" s="1"/>
  <c r="P20" i="10" s="1"/>
  <c r="N21" i="10"/>
  <c r="Q21" i="10" s="1"/>
  <c r="N22" i="10"/>
  <c r="Q22" i="10" s="1"/>
  <c r="N23" i="10"/>
  <c r="O23" i="10" s="1"/>
  <c r="P23" i="10" s="1"/>
  <c r="N24" i="10"/>
  <c r="O24" i="10" s="1"/>
  <c r="P24" i="10" s="1"/>
  <c r="N25" i="10"/>
  <c r="Q25" i="10" s="1"/>
  <c r="N26" i="10"/>
  <c r="Q26" i="10" s="1"/>
  <c r="AM8" i="2"/>
  <c r="AM6" i="2"/>
  <c r="AJ7" i="2"/>
  <c r="AK7" i="2"/>
  <c r="AH7" i="2"/>
  <c r="AI7" i="2"/>
  <c r="AG7" i="2"/>
  <c r="Y38" i="2"/>
  <c r="Z37" i="2"/>
  <c r="Z38" i="2" s="1"/>
  <c r="AL6" i="2"/>
  <c r="AM4" i="2"/>
  <c r="C31" i="17"/>
  <c r="I26" i="20"/>
  <c r="I27" i="20"/>
  <c r="K26" i="20"/>
  <c r="X32" i="5"/>
  <c r="Y32" i="5"/>
  <c r="Z32" i="5"/>
  <c r="AA32" i="5"/>
  <c r="AB32" i="5"/>
  <c r="W32" i="5"/>
  <c r="AE22" i="2"/>
  <c r="AF10" i="2"/>
  <c r="K6" i="2"/>
  <c r="J6" i="2" s="1"/>
  <c r="K5" i="2"/>
  <c r="J5" i="2" s="1"/>
  <c r="L9" i="2"/>
  <c r="K9" i="2" s="1"/>
  <c r="W10" i="2"/>
  <c r="W11" i="2"/>
  <c r="W12" i="2"/>
  <c r="W13" i="2"/>
  <c r="W14" i="2"/>
  <c r="W15" i="2"/>
  <c r="W16" i="2"/>
  <c r="W17" i="2"/>
  <c r="W18" i="2"/>
  <c r="W19" i="2"/>
  <c r="W20" i="2"/>
  <c r="W21" i="2"/>
  <c r="W22" i="2"/>
  <c r="W23" i="2"/>
  <c r="W25" i="2"/>
  <c r="W26" i="2"/>
  <c r="W27" i="2"/>
  <c r="W28" i="2"/>
  <c r="W30" i="2"/>
  <c r="W31" i="2"/>
  <c r="W32" i="2"/>
  <c r="W33" i="2"/>
  <c r="AB10" i="2"/>
  <c r="AB11" i="2"/>
  <c r="AB12" i="2"/>
  <c r="AB13" i="2"/>
  <c r="AB14" i="2"/>
  <c r="AB16" i="2"/>
  <c r="AB17" i="2"/>
  <c r="AB18" i="2"/>
  <c r="AB19" i="2"/>
  <c r="AB20" i="2"/>
  <c r="AB21" i="2"/>
  <c r="AB22" i="2"/>
  <c r="AB23" i="2"/>
  <c r="AB25" i="2"/>
  <c r="AB26" i="2"/>
  <c r="AB27" i="2"/>
  <c r="AB28" i="2"/>
  <c r="AB30" i="2"/>
  <c r="AB31" i="2"/>
  <c r="AB32" i="2"/>
  <c r="AB33" i="2"/>
  <c r="R34" i="2"/>
  <c r="L24" i="15"/>
  <c r="L23" i="15"/>
  <c r="S23" i="10"/>
  <c r="B33" i="10"/>
  <c r="C33" i="10"/>
  <c r="D33" i="10"/>
  <c r="E33" i="10"/>
  <c r="F33" i="10"/>
  <c r="G33" i="10"/>
  <c r="H33" i="10"/>
  <c r="A33" i="10"/>
  <c r="P7" i="10"/>
  <c r="P5" i="10"/>
  <c r="P6" i="10"/>
  <c r="AF30" i="13"/>
  <c r="AF31" i="13"/>
  <c r="AF32" i="13"/>
  <c r="AF33" i="13"/>
  <c r="AF34" i="13"/>
  <c r="AF35" i="13"/>
  <c r="AF36" i="13"/>
  <c r="AF37" i="13"/>
  <c r="AF38" i="13"/>
  <c r="AF39" i="13"/>
  <c r="AF40" i="13"/>
  <c r="AF29" i="13"/>
  <c r="AC41" i="13"/>
  <c r="AD30" i="13" s="1"/>
  <c r="AG30" i="13" s="1"/>
  <c r="V20" i="11"/>
  <c r="N14" i="11"/>
  <c r="N12" i="11"/>
  <c r="N11" i="11"/>
  <c r="J39" i="3"/>
  <c r="L19" i="10"/>
  <c r="V23" i="11"/>
  <c r="V22" i="11"/>
  <c r="V21" i="11"/>
  <c r="V6" i="11"/>
  <c r="X6" i="11"/>
  <c r="C39" i="3"/>
  <c r="L10" i="10"/>
  <c r="I11" i="10"/>
  <c r="J11" i="10" s="1"/>
  <c r="I12" i="10"/>
  <c r="J12" i="10" s="1"/>
  <c r="I13" i="10"/>
  <c r="J13" i="10" s="1"/>
  <c r="I14" i="10"/>
  <c r="J14" i="10" s="1"/>
  <c r="I15" i="10"/>
  <c r="J15" i="10" s="1"/>
  <c r="I10" i="10"/>
  <c r="J10" i="10" s="1"/>
  <c r="G11" i="10"/>
  <c r="H11" i="10" s="1"/>
  <c r="G12" i="10"/>
  <c r="H12" i="10" s="1"/>
  <c r="G13" i="10"/>
  <c r="H13" i="10" s="1"/>
  <c r="G14" i="10"/>
  <c r="H14" i="10" s="1"/>
  <c r="G15" i="10"/>
  <c r="H15" i="10" s="1"/>
  <c r="G10" i="10"/>
  <c r="H10" i="10" s="1"/>
  <c r="F11" i="10"/>
  <c r="M11" i="10" s="1"/>
  <c r="F12" i="10"/>
  <c r="M12" i="10" s="1"/>
  <c r="F13" i="10"/>
  <c r="O13" i="10" s="1"/>
  <c r="F14" i="10"/>
  <c r="O14" i="10" s="1"/>
  <c r="F15" i="10"/>
  <c r="M15" i="10" s="1"/>
  <c r="F10" i="10"/>
  <c r="M10" i="10" s="1"/>
  <c r="J5" i="10"/>
  <c r="E30" i="3"/>
  <c r="E26" i="3"/>
  <c r="E29" i="3"/>
  <c r="E28" i="3"/>
  <c r="E27" i="3"/>
  <c r="F33" i="3"/>
  <c r="F32" i="3"/>
  <c r="G27" i="3"/>
  <c r="S5" i="3"/>
  <c r="S4" i="3"/>
  <c r="S3" i="3"/>
  <c r="H16" i="3"/>
  <c r="H15" i="3"/>
  <c r="G17" i="3"/>
  <c r="H17" i="3" s="1"/>
  <c r="G20" i="3"/>
  <c r="T10" i="3"/>
  <c r="S10" i="3"/>
  <c r="T8" i="3"/>
  <c r="T7" i="3"/>
  <c r="T6" i="3"/>
  <c r="T5" i="3"/>
  <c r="T4" i="3"/>
  <c r="S7" i="3"/>
  <c r="S8" i="3"/>
  <c r="F7" i="3"/>
  <c r="F9" i="3" s="1"/>
  <c r="F10" i="3" s="1"/>
  <c r="S39" i="3"/>
  <c r="S38" i="3"/>
  <c r="S37" i="3"/>
  <c r="S33" i="3"/>
  <c r="T33" i="3" s="1"/>
  <c r="S13" i="3"/>
  <c r="H6" i="3"/>
  <c r="H8" i="3" s="1"/>
  <c r="F12" i="3"/>
  <c r="F13" i="3" s="1"/>
  <c r="G39" i="3"/>
  <c r="P40" i="3"/>
  <c r="P39" i="3"/>
  <c r="P38" i="3"/>
  <c r="P36" i="3"/>
  <c r="P37" i="3"/>
  <c r="F5" i="3"/>
  <c r="C35" i="3"/>
  <c r="C36" i="3" s="1"/>
  <c r="C37" i="3" s="1"/>
  <c r="Q5" i="3"/>
  <c r="Q4" i="3"/>
  <c r="Q26" i="3"/>
  <c r="S34" i="3"/>
  <c r="Q32" i="3"/>
  <c r="S29" i="3"/>
  <c r="T22" i="3"/>
  <c r="T23" i="3" s="1"/>
  <c r="T24" i="3" s="1"/>
  <c r="S16" i="3"/>
  <c r="S17" i="3" s="1"/>
  <c r="S18" i="3" s="1"/>
  <c r="T18" i="3" s="1"/>
  <c r="T19" i="3" s="1"/>
  <c r="Q7" i="3"/>
  <c r="F30" i="8"/>
  <c r="G30" i="8"/>
  <c r="H30" i="8"/>
  <c r="I30" i="8"/>
  <c r="J30" i="8"/>
  <c r="J36" i="8" s="1"/>
  <c r="K30" i="8"/>
  <c r="L30" i="8"/>
  <c r="E30" i="8"/>
  <c r="E31" i="8"/>
  <c r="E32" i="8"/>
  <c r="E33" i="8"/>
  <c r="E34" i="8"/>
  <c r="F33" i="8"/>
  <c r="G33" i="8"/>
  <c r="H33" i="8"/>
  <c r="I33" i="8"/>
  <c r="J33" i="8"/>
  <c r="K33" i="8"/>
  <c r="L33" i="8"/>
  <c r="F34" i="8"/>
  <c r="G34" i="8"/>
  <c r="H34" i="8"/>
  <c r="I34" i="8"/>
  <c r="J34" i="8"/>
  <c r="K34" i="8"/>
  <c r="L34" i="8"/>
  <c r="AE55" i="5"/>
  <c r="J11" i="7"/>
  <c r="K11" i="7"/>
  <c r="L11" i="7"/>
  <c r="M11" i="7"/>
  <c r="I11" i="7"/>
  <c r="J10" i="7"/>
  <c r="K10" i="7"/>
  <c r="L10" i="7"/>
  <c r="M10" i="7"/>
  <c r="I10" i="7"/>
  <c r="K9" i="7"/>
  <c r="L9" i="7"/>
  <c r="M9" i="7"/>
  <c r="J9" i="7"/>
  <c r="J12" i="7"/>
  <c r="K12" i="7"/>
  <c r="L12" i="7"/>
  <c r="M12" i="7"/>
  <c r="I12" i="7"/>
  <c r="L14" i="7"/>
  <c r="M14" i="7"/>
  <c r="K14" i="7"/>
  <c r="J13" i="7"/>
  <c r="K13" i="7"/>
  <c r="L13" i="7"/>
  <c r="M13" i="7"/>
  <c r="I13" i="7"/>
  <c r="L29" i="9"/>
  <c r="L27" i="9"/>
  <c r="L25" i="9"/>
  <c r="L23" i="9"/>
  <c r="L21" i="9"/>
  <c r="L19" i="9"/>
  <c r="D29" i="9"/>
  <c r="E29" i="9"/>
  <c r="F29" i="9"/>
  <c r="G29" i="9"/>
  <c r="H29" i="9"/>
  <c r="I29" i="9"/>
  <c r="J29" i="9"/>
  <c r="K29" i="9"/>
  <c r="C29" i="9"/>
  <c r="T24" i="9" s="1"/>
  <c r="D27" i="9"/>
  <c r="E27" i="9"/>
  <c r="F27" i="9"/>
  <c r="G27" i="9"/>
  <c r="H27" i="9"/>
  <c r="I27" i="9"/>
  <c r="J27" i="9"/>
  <c r="K27" i="9"/>
  <c r="C27" i="9"/>
  <c r="D25" i="9"/>
  <c r="E25" i="9"/>
  <c r="F25" i="9"/>
  <c r="G25" i="9"/>
  <c r="H25" i="9"/>
  <c r="I25" i="9"/>
  <c r="J25" i="9"/>
  <c r="K25" i="9"/>
  <c r="C25" i="9"/>
  <c r="D23" i="9"/>
  <c r="E23" i="9"/>
  <c r="T21" i="9" s="1"/>
  <c r="F23" i="9"/>
  <c r="G23" i="9"/>
  <c r="H23" i="9"/>
  <c r="I23" i="9"/>
  <c r="J23" i="9"/>
  <c r="K23" i="9"/>
  <c r="C23" i="9"/>
  <c r="D21" i="9"/>
  <c r="E21" i="9"/>
  <c r="F21" i="9"/>
  <c r="G21" i="9"/>
  <c r="H21" i="9"/>
  <c r="I21" i="9"/>
  <c r="J21" i="9"/>
  <c r="K21" i="9"/>
  <c r="C21" i="9"/>
  <c r="T20" i="9" s="1"/>
  <c r="D19" i="9"/>
  <c r="E19" i="9"/>
  <c r="F19" i="9"/>
  <c r="G19" i="9"/>
  <c r="H19" i="9"/>
  <c r="I19" i="9"/>
  <c r="J19" i="9"/>
  <c r="K19" i="9"/>
  <c r="C19" i="9"/>
  <c r="U16" i="9"/>
  <c r="R16" i="9"/>
  <c r="S16" i="9" s="1"/>
  <c r="O16" i="9"/>
  <c r="U14" i="9"/>
  <c r="S14" i="9"/>
  <c r="R14" i="9"/>
  <c r="U12" i="9"/>
  <c r="R12" i="9"/>
  <c r="S12" i="9" s="1"/>
  <c r="U10" i="9"/>
  <c r="R10" i="9"/>
  <c r="S10" i="9" s="1"/>
  <c r="U8" i="9"/>
  <c r="R8" i="9"/>
  <c r="S8" i="9" s="1"/>
  <c r="U6" i="9"/>
  <c r="R6" i="9"/>
  <c r="S6" i="9" s="1"/>
  <c r="T9" i="6"/>
  <c r="T11" i="6"/>
  <c r="T13" i="6"/>
  <c r="T15" i="6"/>
  <c r="T17" i="6"/>
  <c r="T7" i="6"/>
  <c r="S19" i="6"/>
  <c r="T19" i="6" s="1"/>
  <c r="M19" i="7"/>
  <c r="M18" i="7"/>
  <c r="Q9" i="6"/>
  <c r="Q11" i="6"/>
  <c r="R11" i="6" s="1"/>
  <c r="Q13" i="6"/>
  <c r="R13" i="6" s="1"/>
  <c r="Q15" i="6"/>
  <c r="R15" i="6" s="1"/>
  <c r="Q17" i="6"/>
  <c r="R17" i="6" s="1"/>
  <c r="Q7" i="6"/>
  <c r="R7" i="6" s="1"/>
  <c r="N17" i="6"/>
  <c r="M20" i="7"/>
  <c r="M21" i="7"/>
  <c r="M22" i="7"/>
  <c r="M23" i="7"/>
  <c r="M13" i="1"/>
  <c r="C21" i="1"/>
  <c r="C23" i="1" s="1"/>
  <c r="D21" i="1"/>
  <c r="D23" i="1" s="1"/>
  <c r="E21" i="1"/>
  <c r="E23" i="1" s="1"/>
  <c r="F21" i="1"/>
  <c r="F23" i="1" s="1"/>
  <c r="G21" i="1"/>
  <c r="G23" i="1" s="1"/>
  <c r="G24" i="1" s="1"/>
  <c r="B21" i="1"/>
  <c r="B23" i="1" s="1"/>
  <c r="C22" i="1"/>
  <c r="D22" i="1"/>
  <c r="E22" i="1"/>
  <c r="F22" i="1"/>
  <c r="G22" i="1"/>
  <c r="B22" i="1"/>
  <c r="F32" i="8"/>
  <c r="G32" i="8"/>
  <c r="H32" i="8"/>
  <c r="I32" i="8"/>
  <c r="J32" i="8"/>
  <c r="K32" i="8"/>
  <c r="L32" i="8"/>
  <c r="F31" i="8"/>
  <c r="G31" i="8"/>
  <c r="H31" i="8"/>
  <c r="I31" i="8"/>
  <c r="J31" i="8"/>
  <c r="K31" i="8"/>
  <c r="L31" i="8"/>
  <c r="E29" i="8"/>
  <c r="F29" i="8"/>
  <c r="G29" i="8"/>
  <c r="G36" i="8" s="1"/>
  <c r="H29" i="8"/>
  <c r="I29" i="8"/>
  <c r="I36" i="8" s="1"/>
  <c r="J29" i="8"/>
  <c r="K29" i="8"/>
  <c r="K36" i="8" s="1"/>
  <c r="L29" i="8"/>
  <c r="H53" i="1"/>
  <c r="G53" i="1"/>
  <c r="F53" i="1"/>
  <c r="E53" i="1"/>
  <c r="D53" i="1"/>
  <c r="C53" i="1"/>
  <c r="B53" i="1"/>
  <c r="I50" i="1"/>
  <c r="D47" i="1"/>
  <c r="E47" i="1"/>
  <c r="F47" i="1"/>
  <c r="G47" i="1"/>
  <c r="H47" i="1"/>
  <c r="I47" i="1"/>
  <c r="C47" i="1"/>
  <c r="C36" i="1"/>
  <c r="D36" i="1"/>
  <c r="B37" i="1"/>
  <c r="C37" i="1"/>
  <c r="D37" i="1"/>
  <c r="E37" i="1"/>
  <c r="F37" i="1"/>
  <c r="H33" i="1"/>
  <c r="G33" i="1"/>
  <c r="F33" i="1"/>
  <c r="D46" i="1"/>
  <c r="E46" i="1"/>
  <c r="F46" i="1"/>
  <c r="G46" i="1"/>
  <c r="H46" i="1"/>
  <c r="I49" i="1" s="1"/>
  <c r="I46" i="1"/>
  <c r="C46" i="1"/>
  <c r="R9" i="6"/>
  <c r="F36" i="8"/>
  <c r="F17" i="8"/>
  <c r="G17" i="8"/>
  <c r="H17" i="8"/>
  <c r="I17" i="8"/>
  <c r="J17" i="8"/>
  <c r="K17" i="8"/>
  <c r="L17" i="8"/>
  <c r="R17" i="8" s="1"/>
  <c r="E17" i="8"/>
  <c r="N17" i="8"/>
  <c r="L19" i="8"/>
  <c r="K19" i="8"/>
  <c r="J19" i="8"/>
  <c r="I19" i="8"/>
  <c r="H19" i="8"/>
  <c r="G19" i="8"/>
  <c r="F19" i="8"/>
  <c r="E19" i="8"/>
  <c r="L18" i="8"/>
  <c r="L12" i="8" s="1"/>
  <c r="K18" i="8"/>
  <c r="K12" i="8" s="1"/>
  <c r="J18" i="8"/>
  <c r="J12" i="8" s="1"/>
  <c r="I18" i="8"/>
  <c r="H18" i="8"/>
  <c r="H12" i="8" s="1"/>
  <c r="G18" i="8"/>
  <c r="G12" i="8" s="1"/>
  <c r="F18" i="8"/>
  <c r="F12" i="8" s="1"/>
  <c r="E18" i="8"/>
  <c r="E12" i="8" s="1"/>
  <c r="L16" i="8"/>
  <c r="K16" i="8"/>
  <c r="J16" i="8"/>
  <c r="I16" i="8"/>
  <c r="H16" i="8"/>
  <c r="G16" i="8"/>
  <c r="F16" i="8"/>
  <c r="E16" i="8"/>
  <c r="L15" i="8"/>
  <c r="K15" i="8"/>
  <c r="J15" i="8"/>
  <c r="I15" i="8"/>
  <c r="H15" i="8"/>
  <c r="Q17" i="8" s="1"/>
  <c r="Q18" i="8"/>
  <c r="Q20" i="8" s="1"/>
  <c r="G15" i="8"/>
  <c r="F15" i="8"/>
  <c r="E15" i="8"/>
  <c r="L16" i="7"/>
  <c r="B20" i="7"/>
  <c r="B19" i="7"/>
  <c r="B18" i="7"/>
  <c r="J16" i="7"/>
  <c r="J14" i="1"/>
  <c r="C10" i="1"/>
  <c r="C15" i="1" s="1"/>
  <c r="D10" i="1"/>
  <c r="D14" i="1" s="1"/>
  <c r="E10" i="1"/>
  <c r="E15" i="1" s="1"/>
  <c r="F10" i="1"/>
  <c r="F15" i="1" s="1"/>
  <c r="G10" i="1"/>
  <c r="G15" i="1" s="1"/>
  <c r="H10" i="1"/>
  <c r="H15" i="1" s="1"/>
  <c r="I10" i="1"/>
  <c r="I15" i="1" s="1"/>
  <c r="J10" i="1"/>
  <c r="J15" i="1" s="1"/>
  <c r="K10" i="1"/>
  <c r="K15" i="1" s="1"/>
  <c r="B10" i="1"/>
  <c r="B14" i="1" s="1"/>
  <c r="C11" i="1"/>
  <c r="D11" i="1"/>
  <c r="E11" i="1"/>
  <c r="F11" i="1"/>
  <c r="G11" i="1"/>
  <c r="H11" i="1"/>
  <c r="I11" i="1"/>
  <c r="J11" i="1"/>
  <c r="B11" i="1"/>
  <c r="I26" i="1" s="1"/>
  <c r="C16" i="7"/>
  <c r="D16" i="7"/>
  <c r="D5" i="3"/>
  <c r="D6" i="3"/>
  <c r="D7" i="3"/>
  <c r="D8" i="3"/>
  <c r="D9" i="3"/>
  <c r="D10" i="3"/>
  <c r="D11" i="3"/>
  <c r="D12" i="3"/>
  <c r="D13" i="3"/>
  <c r="D14" i="3"/>
  <c r="D15" i="3"/>
  <c r="D16" i="3"/>
  <c r="D17" i="3"/>
  <c r="D18" i="3"/>
  <c r="D19" i="3"/>
  <c r="D20" i="3"/>
  <c r="D21" i="3"/>
  <c r="D22" i="3"/>
  <c r="D4" i="3"/>
  <c r="C23" i="3"/>
  <c r="Y34" i="2"/>
  <c r="Y36" i="2" s="1"/>
  <c r="Y37" i="2" s="1"/>
  <c r="X33" i="2"/>
  <c r="AA29" i="2"/>
  <c r="AB29" i="2" s="1"/>
  <c r="AA24" i="2"/>
  <c r="X24" i="2" s="1"/>
  <c r="X34" i="2" s="1"/>
  <c r="AA15" i="2"/>
  <c r="AB15" i="2" s="1"/>
  <c r="AA9" i="2"/>
  <c r="AB9" i="2" s="1"/>
  <c r="T6" i="2"/>
  <c r="T7" i="2"/>
  <c r="T8" i="2"/>
  <c r="T11" i="2"/>
  <c r="T12" i="2"/>
  <c r="T13" i="2"/>
  <c r="T14" i="2"/>
  <c r="T16" i="2"/>
  <c r="T19" i="2"/>
  <c r="T21" i="2"/>
  <c r="V24" i="2" s="1"/>
  <c r="W24" i="2" s="1"/>
  <c r="T22" i="2"/>
  <c r="T23" i="2"/>
  <c r="T24" i="2"/>
  <c r="T25" i="2"/>
  <c r="T26" i="2"/>
  <c r="T27" i="2"/>
  <c r="T28" i="2"/>
  <c r="T29" i="2"/>
  <c r="T30" i="2"/>
  <c r="T31" i="2"/>
  <c r="T33" i="2"/>
  <c r="U3" i="2"/>
  <c r="X29" i="2"/>
  <c r="O19" i="2"/>
  <c r="O32" i="2"/>
  <c r="O33" i="2"/>
  <c r="S32" i="2"/>
  <c r="S34" i="2" s="1"/>
  <c r="Q15" i="2"/>
  <c r="Q19" i="2"/>
  <c r="Q24" i="2"/>
  <c r="Q29" i="2"/>
  <c r="Q33" i="2"/>
  <c r="Q9" i="2"/>
  <c r="P31" i="2"/>
  <c r="Q31" i="2" s="1"/>
  <c r="N29" i="2"/>
  <c r="O29" i="2" s="1"/>
  <c r="N24" i="2"/>
  <c r="O24" i="2" s="1"/>
  <c r="N15" i="2"/>
  <c r="O15" i="2" s="1"/>
  <c r="N9" i="2"/>
  <c r="O9" i="2" s="1"/>
  <c r="A11" i="1"/>
  <c r="J20" i="2"/>
  <c r="F22" i="2"/>
  <c r="F23" i="2"/>
  <c r="F21" i="2"/>
  <c r="D29" i="2"/>
  <c r="D28" i="2"/>
  <c r="D27" i="2"/>
  <c r="L7" i="1"/>
  <c r="D42" i="1"/>
  <c r="E42" i="1"/>
  <c r="F42" i="1"/>
  <c r="C42" i="1"/>
  <c r="E33" i="1"/>
  <c r="I38" i="1" s="1"/>
  <c r="D33" i="1"/>
  <c r="C33" i="1"/>
  <c r="B33" i="1"/>
  <c r="G35" i="1"/>
  <c r="P34" i="2"/>
  <c r="Q34" i="2" s="1"/>
  <c r="E35" i="1"/>
  <c r="I36" i="1"/>
  <c r="C8" i="1"/>
  <c r="D8" i="1"/>
  <c r="E8" i="1"/>
  <c r="F8" i="1"/>
  <c r="G8" i="1"/>
  <c r="H8" i="1"/>
  <c r="I8" i="1"/>
  <c r="J8" i="1"/>
  <c r="K8" i="1"/>
  <c r="B8" i="1"/>
  <c r="M7" i="1"/>
  <c r="M6" i="1"/>
  <c r="T5" i="2"/>
  <c r="U34" i="2"/>
  <c r="F56" i="14"/>
  <c r="G56" i="14"/>
  <c r="J4" i="2" l="1"/>
  <c r="V9" i="2"/>
  <c r="N31" i="2"/>
  <c r="O31" i="2" s="1"/>
  <c r="V36" i="2"/>
  <c r="K14" i="1"/>
  <c r="F14" i="1"/>
  <c r="I48" i="1"/>
  <c r="I39" i="1"/>
  <c r="I51" i="1"/>
  <c r="M16" i="7"/>
  <c r="L12" i="10"/>
  <c r="Q24" i="10"/>
  <c r="K27" i="20"/>
  <c r="G14" i="1"/>
  <c r="E36" i="8"/>
  <c r="T22" i="9"/>
  <c r="L36" i="8"/>
  <c r="H36" i="8"/>
  <c r="O10" i="10"/>
  <c r="Q23" i="10"/>
  <c r="T15" i="2"/>
  <c r="E14" i="1"/>
  <c r="I12" i="8"/>
  <c r="V29" i="2"/>
  <c r="W29" i="2" s="1"/>
  <c r="D23" i="3"/>
  <c r="I14" i="1"/>
  <c r="C14" i="1"/>
  <c r="R18" i="8"/>
  <c r="R20" i="8" s="1"/>
  <c r="R19" i="8"/>
  <c r="R21" i="8" s="1"/>
  <c r="T19" i="9"/>
  <c r="T23" i="9"/>
  <c r="I16" i="7"/>
  <c r="K16" i="7"/>
  <c r="O12" i="10"/>
  <c r="Q20" i="10"/>
  <c r="O22" i="10"/>
  <c r="P22" i="10" s="1"/>
  <c r="W9" i="2"/>
  <c r="E24" i="1"/>
  <c r="B15" i="1"/>
  <c r="M15" i="1" s="1"/>
  <c r="D15" i="1"/>
  <c r="M14" i="10"/>
  <c r="T34" i="2"/>
  <c r="AA34" i="2"/>
  <c r="AB34" i="2" s="1"/>
  <c r="H14" i="1"/>
  <c r="T16" i="3"/>
  <c r="T17" i="3" s="1"/>
  <c r="T20" i="3" s="1"/>
  <c r="L15" i="10"/>
  <c r="L11" i="10"/>
  <c r="N13" i="10"/>
  <c r="O15" i="10"/>
  <c r="O11" i="10"/>
  <c r="M13" i="10"/>
  <c r="Q18" i="10"/>
  <c r="O25" i="10"/>
  <c r="P25" i="10" s="1"/>
  <c r="O21" i="10"/>
  <c r="P21" i="10" s="1"/>
  <c r="J26" i="20"/>
  <c r="J27" i="20" s="1"/>
  <c r="N14" i="10"/>
  <c r="N34" i="2"/>
  <c r="O34" i="2" s="1"/>
  <c r="Q19" i="8"/>
  <c r="Q21" i="8" s="1"/>
  <c r="Q19" i="6"/>
  <c r="R19" i="6" s="1"/>
  <c r="L14" i="10"/>
  <c r="N10" i="10"/>
  <c r="N12" i="10"/>
  <c r="AA36" i="2"/>
  <c r="AB24" i="2"/>
  <c r="L13" i="10"/>
  <c r="N15" i="10"/>
  <c r="N11" i="10"/>
  <c r="Q5" i="19"/>
  <c r="Q11" i="11"/>
  <c r="Q13" i="11"/>
  <c r="R13" i="11" s="1"/>
  <c r="Q14" i="11"/>
  <c r="S14" i="11" s="1"/>
  <c r="W12" i="11"/>
  <c r="X24" i="21"/>
  <c r="M27" i="23"/>
  <c r="N27" i="23"/>
  <c r="J15" i="12"/>
  <c r="V23" i="5"/>
  <c r="V25" i="5" s="1"/>
  <c r="AF41" i="13"/>
  <c r="AF44" i="13" s="1"/>
  <c r="AF45" i="13" s="1"/>
  <c r="AD32" i="13"/>
  <c r="AG32" i="13" s="1"/>
  <c r="AD34" i="13"/>
  <c r="AG34" i="13" s="1"/>
  <c r="AD36" i="13"/>
  <c r="AG36" i="13" s="1"/>
  <c r="AD38" i="13"/>
  <c r="AG38" i="13" s="1"/>
  <c r="AD40" i="13"/>
  <c r="AG40" i="13" s="1"/>
  <c r="AD33" i="13"/>
  <c r="AG33" i="13" s="1"/>
  <c r="AD37" i="13"/>
  <c r="AG37" i="13" s="1"/>
  <c r="AD29" i="13"/>
  <c r="AD31" i="13"/>
  <c r="AG31" i="13" s="1"/>
  <c r="AD35" i="13"/>
  <c r="AG35" i="13" s="1"/>
  <c r="AD39" i="13"/>
  <c r="AG39" i="13" s="1"/>
  <c r="L40" i="13"/>
  <c r="N41" i="13"/>
  <c r="O41" i="13" s="1"/>
  <c r="Q12" i="11"/>
  <c r="S12" i="11" s="1"/>
  <c r="Q10" i="11"/>
  <c r="AD52" i="5"/>
  <c r="AD53" i="5"/>
  <c r="AD54" i="5"/>
  <c r="A35" i="14"/>
  <c r="A53" i="14"/>
  <c r="A49" i="14"/>
  <c r="A42" i="14"/>
  <c r="M39" i="14"/>
  <c r="D20" i="10"/>
  <c r="AD47" i="5"/>
  <c r="AD48" i="5"/>
  <c r="A55" i="14"/>
  <c r="A51" i="14"/>
  <c r="A46" i="14"/>
  <c r="A38" i="14"/>
  <c r="M37" i="14"/>
  <c r="M50" i="14"/>
  <c r="B37" i="10"/>
  <c r="M35" i="14"/>
  <c r="AD44" i="5"/>
  <c r="K38" i="3"/>
  <c r="K39" i="3"/>
  <c r="A56" i="14"/>
  <c r="A54" i="14"/>
  <c r="A52" i="14"/>
  <c r="A50" i="14"/>
  <c r="A48" i="14"/>
  <c r="A44" i="14"/>
  <c r="A40" i="14"/>
  <c r="A36" i="14"/>
  <c r="M48" i="14"/>
  <c r="M52" i="14"/>
  <c r="M46" i="14"/>
  <c r="M44" i="14"/>
  <c r="M42" i="14"/>
  <c r="A47" i="14"/>
  <c r="A45" i="14"/>
  <c r="A43" i="14"/>
  <c r="A41" i="14"/>
  <c r="A39" i="14"/>
  <c r="A37" i="14"/>
  <c r="M47" i="14"/>
  <c r="M49" i="14"/>
  <c r="M51" i="14"/>
  <c r="M53" i="14"/>
  <c r="M54" i="14"/>
  <c r="M45" i="14"/>
  <c r="M43" i="14"/>
  <c r="M41" i="14"/>
  <c r="M36" i="14"/>
  <c r="AD43" i="5"/>
  <c r="P4" i="18"/>
  <c r="I3" i="18" s="1"/>
  <c r="B1" i="18" s="1"/>
  <c r="L10" i="15"/>
  <c r="M40" i="14"/>
  <c r="M38" i="14"/>
  <c r="Q4" i="19"/>
  <c r="L2" i="23" l="1"/>
  <c r="T26" i="9"/>
  <c r="V34" i="2"/>
  <c r="W34" i="2" s="1"/>
  <c r="B1" i="19"/>
  <c r="U16" i="21" s="1"/>
  <c r="W16" i="21" s="1"/>
  <c r="B1" i="12"/>
  <c r="D8" i="21" s="1"/>
  <c r="B1" i="23"/>
  <c r="D10" i="21"/>
  <c r="R10" i="11"/>
  <c r="S10" i="11"/>
  <c r="R11" i="11"/>
  <c r="S11" i="11"/>
  <c r="R14" i="11"/>
  <c r="S13" i="11"/>
  <c r="U12" i="21"/>
  <c r="W12" i="21" s="1"/>
  <c r="M3" i="11"/>
  <c r="R12" i="11"/>
  <c r="Q29" i="21"/>
  <c r="AG29" i="13"/>
  <c r="AG41" i="13" s="1"/>
  <c r="AD41" i="13"/>
  <c r="U15" i="21"/>
  <c r="W15" i="21" s="1"/>
  <c r="K40" i="3"/>
  <c r="N58" i="14"/>
  <c r="L25" i="14" s="1"/>
  <c r="T6" i="21"/>
  <c r="U6" i="21"/>
  <c r="W6" i="21" s="1"/>
  <c r="Q24" i="21"/>
  <c r="AD55" i="5"/>
  <c r="U31" i="5" s="1"/>
  <c r="N48" i="14"/>
  <c r="L23" i="14" s="1"/>
  <c r="N13" i="15"/>
  <c r="S28" i="13"/>
  <c r="S30" i="13" s="1"/>
  <c r="S32" i="13"/>
  <c r="S37" i="13" s="1"/>
  <c r="U8" i="21" s="1"/>
  <c r="W8" i="21" s="1"/>
  <c r="R15" i="11" l="1"/>
  <c r="S15" i="11"/>
  <c r="W13" i="11" s="1"/>
  <c r="Q30" i="21"/>
  <c r="N61" i="14"/>
  <c r="L26" i="14" s="1"/>
  <c r="AG42" i="13"/>
  <c r="AC48" i="13" s="1"/>
  <c r="N60" i="14"/>
  <c r="S31" i="13"/>
  <c r="S36" i="13" s="1"/>
  <c r="U9" i="21" s="1"/>
  <c r="W9" i="21" s="1"/>
  <c r="S35" i="13"/>
  <c r="D7" i="21" l="1"/>
  <c r="U14" i="21"/>
  <c r="W14" i="21" s="1"/>
  <c r="W14" i="11"/>
  <c r="U13" i="21"/>
  <c r="W13" i="21" s="1"/>
  <c r="M2" i="11"/>
  <c r="P3" i="11"/>
  <c r="B1" i="11" s="1"/>
  <c r="O61" i="14"/>
  <c r="K65" i="14" s="1"/>
  <c r="U7" i="21"/>
  <c r="W7" i="21" s="1"/>
  <c r="O23" i="14"/>
  <c r="S33" i="13"/>
  <c r="S39" i="13"/>
  <c r="U10" i="21" l="1"/>
  <c r="W10" i="21" s="1"/>
  <c r="K2" i="15" l="1"/>
  <c r="B1" i="15" s="1"/>
  <c r="D6" i="21" l="1"/>
  <c r="M3" i="18"/>
  <c r="U17" i="21"/>
  <c r="W17" i="21" s="1"/>
  <c r="W19" i="21" s="1"/>
  <c r="G2" i="13"/>
  <c r="D9" i="21" s="1"/>
  <c r="D14" i="21" l="1"/>
  <c r="H65" i="21" s="1"/>
  <c r="C3" i="21" l="1"/>
</calcChain>
</file>

<file path=xl/comments1.xml><?xml version="1.0" encoding="utf-8"?>
<comments xmlns="http://schemas.openxmlformats.org/spreadsheetml/2006/main">
  <authors>
    <author>Peter Harper</author>
  </authors>
  <commentList>
    <comment ref="O12" authorId="0">
      <text>
        <r>
          <rPr>
            <b/>
            <sz val="9"/>
            <color indexed="81"/>
            <rFont val="Tahoma"/>
            <family val="2"/>
          </rPr>
          <t>Peter Harper:</t>
        </r>
        <r>
          <rPr>
            <sz val="9"/>
            <color indexed="81"/>
            <rFont val="Tahoma"/>
            <family val="2"/>
          </rPr>
          <t xml:space="preserve">
taking many different factors into account</t>
        </r>
      </text>
    </comment>
  </commentList>
</comments>
</file>

<file path=xl/comments10.xml><?xml version="1.0" encoding="utf-8"?>
<comments xmlns="http://schemas.openxmlformats.org/spreadsheetml/2006/main">
  <authors>
    <author>Peter Harper</author>
  </authors>
  <commentList>
    <comment ref="B6" authorId="0">
      <text>
        <r>
          <rPr>
            <b/>
            <sz val="9"/>
            <color indexed="81"/>
            <rFont val="Tahoma"/>
            <family val="2"/>
          </rPr>
          <t>Peter Harper:</t>
        </r>
        <r>
          <rPr>
            <sz val="9"/>
            <color indexed="81"/>
            <rFont val="Tahoma"/>
            <family val="2"/>
          </rPr>
          <t xml:space="preserve">
Taken from ONS data 2005/6
Equivalised disposable</t>
        </r>
      </text>
    </comment>
    <comment ref="B8" authorId="0">
      <text>
        <r>
          <rPr>
            <b/>
            <sz val="9"/>
            <color indexed="81"/>
            <rFont val="Tahoma"/>
            <family val="2"/>
          </rPr>
          <t>Peter Harper:</t>
        </r>
        <r>
          <rPr>
            <sz val="9"/>
            <color indexed="81"/>
            <rFont val="Tahoma"/>
            <family val="2"/>
          </rPr>
          <t xml:space="preserve">
Taken from ONS data 2005/6
Equivalised disposable</t>
        </r>
      </text>
    </comment>
    <comment ref="B10" authorId="0">
      <text>
        <r>
          <rPr>
            <b/>
            <sz val="9"/>
            <color indexed="81"/>
            <rFont val="Tahoma"/>
            <family val="2"/>
          </rPr>
          <t>Peter Harper:</t>
        </r>
        <r>
          <rPr>
            <sz val="9"/>
            <color indexed="81"/>
            <rFont val="Tahoma"/>
            <family val="2"/>
          </rPr>
          <t xml:space="preserve">
Taken from ONS data 2005/6
Equivalised disposable</t>
        </r>
      </text>
    </comment>
    <comment ref="B12" authorId="0">
      <text>
        <r>
          <rPr>
            <b/>
            <sz val="9"/>
            <color indexed="81"/>
            <rFont val="Tahoma"/>
            <family val="2"/>
          </rPr>
          <t>Peter Harper:</t>
        </r>
        <r>
          <rPr>
            <sz val="9"/>
            <color indexed="81"/>
            <rFont val="Tahoma"/>
            <family val="2"/>
          </rPr>
          <t xml:space="preserve">
Taken from ONS data 2005/6
Equivalised disposable</t>
        </r>
      </text>
    </comment>
    <comment ref="B14" authorId="0">
      <text>
        <r>
          <rPr>
            <b/>
            <sz val="9"/>
            <color indexed="81"/>
            <rFont val="Tahoma"/>
            <family val="2"/>
          </rPr>
          <t>Peter Harper:</t>
        </r>
        <r>
          <rPr>
            <sz val="9"/>
            <color indexed="81"/>
            <rFont val="Tahoma"/>
            <family val="2"/>
          </rPr>
          <t xml:space="preserve">
Taken from ONS data 2005/6
Equivalised disposable</t>
        </r>
      </text>
    </comment>
    <comment ref="B16" authorId="0">
      <text>
        <r>
          <rPr>
            <b/>
            <sz val="9"/>
            <color indexed="81"/>
            <rFont val="Tahoma"/>
            <family val="2"/>
          </rPr>
          <t>Peter Harper:</t>
        </r>
        <r>
          <rPr>
            <sz val="9"/>
            <color indexed="81"/>
            <rFont val="Tahoma"/>
            <family val="2"/>
          </rPr>
          <t xml:space="preserve">
Taken from ONS data 2005/6
Equivalised disposable</t>
        </r>
      </text>
    </comment>
  </commentList>
</comments>
</file>

<file path=xl/comments11.xml><?xml version="1.0" encoding="utf-8"?>
<comments xmlns="http://schemas.openxmlformats.org/spreadsheetml/2006/main">
  <authors>
    <author>Peter Harper</author>
  </authors>
  <commentList>
    <comment ref="C5" authorId="0">
      <text>
        <r>
          <rPr>
            <b/>
            <sz val="9"/>
            <color indexed="81"/>
            <rFont val="Tahoma"/>
            <family val="2"/>
          </rPr>
          <t>Peter Harper:</t>
        </r>
        <r>
          <rPr>
            <sz val="9"/>
            <color indexed="81"/>
            <rFont val="Tahoma"/>
            <family val="2"/>
          </rPr>
          <t xml:space="preserve">
Taken from ONS data 2005/6
Equivalised disposable</t>
        </r>
      </text>
    </comment>
    <comment ref="C7" authorId="0">
      <text>
        <r>
          <rPr>
            <b/>
            <sz val="9"/>
            <color indexed="81"/>
            <rFont val="Tahoma"/>
            <family val="2"/>
          </rPr>
          <t>Peter Harper:</t>
        </r>
        <r>
          <rPr>
            <sz val="9"/>
            <color indexed="81"/>
            <rFont val="Tahoma"/>
            <family val="2"/>
          </rPr>
          <t xml:space="preserve">
Taken from ONS data 2005/6
Equivalised disposable</t>
        </r>
      </text>
    </comment>
    <comment ref="C9" authorId="0">
      <text>
        <r>
          <rPr>
            <b/>
            <sz val="9"/>
            <color indexed="81"/>
            <rFont val="Tahoma"/>
            <family val="2"/>
          </rPr>
          <t>Peter Harper:</t>
        </r>
        <r>
          <rPr>
            <sz val="9"/>
            <color indexed="81"/>
            <rFont val="Tahoma"/>
            <family val="2"/>
          </rPr>
          <t xml:space="preserve">
Taken from ONS data 2005/6
Equivalised disposable</t>
        </r>
      </text>
    </comment>
    <comment ref="C11" authorId="0">
      <text>
        <r>
          <rPr>
            <b/>
            <sz val="9"/>
            <color indexed="81"/>
            <rFont val="Tahoma"/>
            <family val="2"/>
          </rPr>
          <t>Peter Harper:</t>
        </r>
        <r>
          <rPr>
            <sz val="9"/>
            <color indexed="81"/>
            <rFont val="Tahoma"/>
            <family val="2"/>
          </rPr>
          <t xml:space="preserve">
Taken from ONS data 2005/6
Equivalised disposable</t>
        </r>
      </text>
    </comment>
    <comment ref="C13" authorId="0">
      <text>
        <r>
          <rPr>
            <b/>
            <sz val="9"/>
            <color indexed="81"/>
            <rFont val="Tahoma"/>
            <family val="2"/>
          </rPr>
          <t>Peter Harper:</t>
        </r>
        <r>
          <rPr>
            <sz val="9"/>
            <color indexed="81"/>
            <rFont val="Tahoma"/>
            <family val="2"/>
          </rPr>
          <t xml:space="preserve">
Taken from ONS data 2005/6
Equivalised disposable</t>
        </r>
      </text>
    </comment>
    <comment ref="C15" authorId="0">
      <text>
        <r>
          <rPr>
            <b/>
            <sz val="9"/>
            <color indexed="81"/>
            <rFont val="Tahoma"/>
            <family val="2"/>
          </rPr>
          <t>Peter Harper:</t>
        </r>
        <r>
          <rPr>
            <sz val="9"/>
            <color indexed="81"/>
            <rFont val="Tahoma"/>
            <family val="2"/>
          </rPr>
          <t xml:space="preserve">
Taken from ONS data 2005/6
Equivalised disposable</t>
        </r>
      </text>
    </comment>
    <comment ref="C18" authorId="0">
      <text>
        <r>
          <rPr>
            <b/>
            <sz val="9"/>
            <color indexed="81"/>
            <rFont val="Tahoma"/>
            <family val="2"/>
          </rPr>
          <t>Peter Harper:</t>
        </r>
        <r>
          <rPr>
            <sz val="9"/>
            <color indexed="81"/>
            <rFont val="Tahoma"/>
            <family val="2"/>
          </rPr>
          <t xml:space="preserve">
Taken from ONS data 2005/6
Equivalised disposable</t>
        </r>
      </text>
    </comment>
    <comment ref="C20" authorId="0">
      <text>
        <r>
          <rPr>
            <b/>
            <sz val="9"/>
            <color indexed="81"/>
            <rFont val="Tahoma"/>
            <family val="2"/>
          </rPr>
          <t>Peter Harper:</t>
        </r>
        <r>
          <rPr>
            <sz val="9"/>
            <color indexed="81"/>
            <rFont val="Tahoma"/>
            <family val="2"/>
          </rPr>
          <t xml:space="preserve">
Taken from ONS data 2005/6
Equivalised disposable</t>
        </r>
      </text>
    </comment>
    <comment ref="C22" authorId="0">
      <text>
        <r>
          <rPr>
            <b/>
            <sz val="9"/>
            <color indexed="81"/>
            <rFont val="Tahoma"/>
            <family val="2"/>
          </rPr>
          <t>Peter Harper:</t>
        </r>
        <r>
          <rPr>
            <sz val="9"/>
            <color indexed="81"/>
            <rFont val="Tahoma"/>
            <family val="2"/>
          </rPr>
          <t xml:space="preserve">
Taken from ONS data 2005/6
Equivalised disposable</t>
        </r>
      </text>
    </comment>
    <comment ref="C24" authorId="0">
      <text>
        <r>
          <rPr>
            <b/>
            <sz val="9"/>
            <color indexed="81"/>
            <rFont val="Tahoma"/>
            <family val="2"/>
          </rPr>
          <t>Peter Harper:</t>
        </r>
        <r>
          <rPr>
            <sz val="9"/>
            <color indexed="81"/>
            <rFont val="Tahoma"/>
            <family val="2"/>
          </rPr>
          <t xml:space="preserve">
Taken from ONS data 2005/6
Equivalised disposable</t>
        </r>
      </text>
    </comment>
    <comment ref="C26" authorId="0">
      <text>
        <r>
          <rPr>
            <b/>
            <sz val="9"/>
            <color indexed="81"/>
            <rFont val="Tahoma"/>
            <family val="2"/>
          </rPr>
          <t>Peter Harper:</t>
        </r>
        <r>
          <rPr>
            <sz val="9"/>
            <color indexed="81"/>
            <rFont val="Tahoma"/>
            <family val="2"/>
          </rPr>
          <t xml:space="preserve">
Taken from ONS data 2005/6
Equivalised disposable</t>
        </r>
      </text>
    </comment>
    <comment ref="C28" authorId="0">
      <text>
        <r>
          <rPr>
            <b/>
            <sz val="9"/>
            <color indexed="81"/>
            <rFont val="Tahoma"/>
            <family val="2"/>
          </rPr>
          <t>Peter Harper:</t>
        </r>
        <r>
          <rPr>
            <sz val="9"/>
            <color indexed="81"/>
            <rFont val="Tahoma"/>
            <family val="2"/>
          </rPr>
          <t xml:space="preserve">
Taken from ONS data 2005/6
Equivalised disposable</t>
        </r>
      </text>
    </comment>
  </commentList>
</comments>
</file>

<file path=xl/comments2.xml><?xml version="1.0" encoding="utf-8"?>
<comments xmlns="http://schemas.openxmlformats.org/spreadsheetml/2006/main">
  <authors>
    <author>Peter Harper</author>
  </authors>
  <commentList>
    <comment ref="M27" authorId="0">
      <text>
        <r>
          <rPr>
            <b/>
            <sz val="9"/>
            <color indexed="81"/>
            <rFont val="Tahoma"/>
            <family val="2"/>
          </rPr>
          <t>Peter Harper:</t>
        </r>
        <r>
          <rPr>
            <sz val="9"/>
            <color indexed="81"/>
            <rFont val="Tahoma"/>
            <family val="2"/>
          </rPr>
          <t xml:space="preserve">
Derived from data in Bananas</t>
        </r>
      </text>
    </comment>
  </commentList>
</comments>
</file>

<file path=xl/comments3.xml><?xml version="1.0" encoding="utf-8"?>
<comments xmlns="http://schemas.openxmlformats.org/spreadsheetml/2006/main">
  <authors>
    <author>Peter Harper</author>
  </authors>
  <commentList>
    <comment ref="X11" authorId="0">
      <text>
        <r>
          <rPr>
            <b/>
            <sz val="9"/>
            <color indexed="81"/>
            <rFont val="Tahoma"/>
            <family val="2"/>
          </rPr>
          <t>Peter Harper:</t>
        </r>
        <r>
          <rPr>
            <sz val="9"/>
            <color indexed="81"/>
            <rFont val="Tahoma"/>
            <family val="2"/>
          </rPr>
          <t xml:space="preserve">
http://assets.dft.gov.uk/statistics/releases/transport-statistics-great-britain-2011/tsgb-2011-complete.pdf all flying*multiplier of 1.9 less 30% business flying</t>
        </r>
      </text>
    </comment>
  </commentList>
</comments>
</file>

<file path=xl/comments4.xml><?xml version="1.0" encoding="utf-8"?>
<comments xmlns="http://schemas.openxmlformats.org/spreadsheetml/2006/main">
  <authors>
    <author>Peter Harper</author>
  </authors>
  <commentList>
    <comment ref="W29" authorId="0">
      <text>
        <r>
          <rPr>
            <b/>
            <sz val="9"/>
            <color indexed="81"/>
            <rFont val="Tahoma"/>
            <family val="2"/>
          </rPr>
          <t>Peter Harper:</t>
        </r>
        <r>
          <rPr>
            <sz val="9"/>
            <color indexed="81"/>
            <rFont val="Tahoma"/>
            <family val="2"/>
          </rPr>
          <t xml:space="preserve">
Taken from ONS data 2005/6
Equivalised disposable</t>
        </r>
      </text>
    </comment>
  </commentList>
</comments>
</file>

<file path=xl/comments5.xml><?xml version="1.0" encoding="utf-8"?>
<comments xmlns="http://schemas.openxmlformats.org/spreadsheetml/2006/main">
  <authors>
    <author>David</author>
    <author>Peter Harper</author>
  </authors>
  <commentList>
    <comment ref="R9" authorId="0">
      <text>
        <r>
          <rPr>
            <sz val="11"/>
            <color indexed="81"/>
            <rFont val="Tahoma"/>
            <family val="2"/>
          </rPr>
          <t>IF HEALTH OR DISABILITY ISSUES AFFECT YOUR SITUATION, PLEASE IGNORE THIS QUESTION AND 
DON'T BE OFFENDED.</t>
        </r>
        <r>
          <rPr>
            <sz val="8"/>
            <color indexed="81"/>
            <rFont val="Tahoma"/>
            <family val="2"/>
          </rPr>
          <t xml:space="preserve">
</t>
        </r>
      </text>
    </comment>
    <comment ref="N61" authorId="1">
      <text>
        <r>
          <rPr>
            <b/>
            <sz val="9"/>
            <color indexed="81"/>
            <rFont val="Tahoma"/>
            <family val="2"/>
          </rPr>
          <t>Peter Harper:</t>
        </r>
        <r>
          <rPr>
            <sz val="9"/>
            <color indexed="81"/>
            <rFont val="Tahoma"/>
            <family val="2"/>
          </rPr>
          <t xml:space="preserve">
Goods given a multiplier of 0.8, services 0.35. These generate expected average</t>
        </r>
      </text>
    </comment>
    <comment ref="I76" authorId="1">
      <text>
        <r>
          <rPr>
            <b/>
            <sz val="9"/>
            <color indexed="81"/>
            <rFont val="Tahoma"/>
            <family val="2"/>
          </rPr>
          <t>Peter Harper:</t>
        </r>
        <r>
          <rPr>
            <sz val="9"/>
            <color indexed="81"/>
            <rFont val="Tahoma"/>
            <family val="2"/>
          </rPr>
          <t xml:space="preserve">
The underscore I to differentiate from cells in column ETH</t>
        </r>
      </text>
    </comment>
  </commentList>
</comments>
</file>

<file path=xl/comments6.xml><?xml version="1.0" encoding="utf-8"?>
<comments xmlns="http://schemas.openxmlformats.org/spreadsheetml/2006/main">
  <authors>
    <author>Peter Harper</author>
  </authors>
  <commentList>
    <comment ref="V26" authorId="0">
      <text>
        <r>
          <rPr>
            <b/>
            <sz val="9"/>
            <color indexed="81"/>
            <rFont val="Tahoma"/>
            <family val="2"/>
          </rPr>
          <t>Peter Harper:</t>
        </r>
        <r>
          <rPr>
            <sz val="9"/>
            <color indexed="81"/>
            <rFont val="Tahoma"/>
            <family val="2"/>
          </rPr>
          <t xml:space="preserve">
http://assets.dft.gov.uk/statistics/releases/transport-statistics-great-britain-2011/tsgb-2011-complete.pdf all flying*multiplier of 1.9 less 30% business flying</t>
        </r>
      </text>
    </comment>
  </commentList>
</comments>
</file>

<file path=xl/comments7.xml><?xml version="1.0" encoding="utf-8"?>
<comments xmlns="http://schemas.openxmlformats.org/spreadsheetml/2006/main">
  <authors>
    <author>Peter Harper</author>
  </authors>
  <commentList>
    <comment ref="B12" authorId="0">
      <text>
        <r>
          <rPr>
            <b/>
            <sz val="9"/>
            <color indexed="81"/>
            <rFont val="Tahoma"/>
            <family val="2"/>
          </rPr>
          <t>Peter Harper:</t>
        </r>
        <r>
          <rPr>
            <sz val="9"/>
            <color indexed="81"/>
            <rFont val="Tahoma"/>
            <family val="2"/>
          </rPr>
          <t xml:space="preserve">
Taken from ONS data 2005/6
Equivalised disposable</t>
        </r>
      </text>
    </comment>
  </commentList>
</comments>
</file>

<file path=xl/comments8.xml><?xml version="1.0" encoding="utf-8"?>
<comments xmlns="http://schemas.openxmlformats.org/spreadsheetml/2006/main">
  <authors>
    <author>Peter Harper</author>
  </authors>
  <commentList>
    <comment ref="R5" authorId="0">
      <text>
        <r>
          <rPr>
            <b/>
            <sz val="9"/>
            <color indexed="81"/>
            <rFont val="Tahoma"/>
            <family val="2"/>
          </rPr>
          <t>Peter Harper:</t>
        </r>
        <r>
          <rPr>
            <sz val="9"/>
            <color indexed="81"/>
            <rFont val="Tahoma"/>
            <family val="2"/>
          </rPr>
          <t xml:space="preserve">
Measured in MtC so insensitive to CO2e and non-CO2 emissions</t>
        </r>
      </text>
    </comment>
    <comment ref="M8" authorId="0">
      <text>
        <r>
          <rPr>
            <b/>
            <sz val="9"/>
            <color indexed="81"/>
            <rFont val="Tahoma"/>
            <family val="2"/>
          </rPr>
          <t>Peter Harper:</t>
        </r>
        <r>
          <rPr>
            <sz val="9"/>
            <color indexed="81"/>
            <rFont val="Tahoma"/>
            <family val="2"/>
          </rPr>
          <t xml:space="preserve">
This figure is 50% (guesstimate) of combined indirect for HE and MF</t>
        </r>
      </text>
    </comment>
    <comment ref="N9" authorId="0">
      <text>
        <r>
          <rPr>
            <b/>
            <sz val="9"/>
            <color indexed="81"/>
            <rFont val="Tahoma"/>
            <family val="2"/>
          </rPr>
          <t>Peter Harper:</t>
        </r>
        <r>
          <rPr>
            <sz val="9"/>
            <color indexed="81"/>
            <rFont val="Tahoma"/>
            <family val="2"/>
          </rPr>
          <t xml:space="preserve">
includes indirect</t>
        </r>
      </text>
    </comment>
    <comment ref="R9" authorId="0">
      <text>
        <r>
          <rPr>
            <b/>
            <sz val="9"/>
            <color indexed="81"/>
            <rFont val="Tahoma"/>
            <family val="2"/>
          </rPr>
          <t>Peter Harper:</t>
        </r>
        <r>
          <rPr>
            <sz val="9"/>
            <color indexed="81"/>
            <rFont val="Tahoma"/>
            <family val="2"/>
          </rPr>
          <t xml:space="preserve">
inflated by under-counting non-CO2GHG</t>
        </r>
      </text>
    </comment>
    <comment ref="V9" authorId="0">
      <text>
        <r>
          <rPr>
            <b/>
            <sz val="9"/>
            <color indexed="81"/>
            <rFont val="Tahoma"/>
            <family val="2"/>
          </rPr>
          <t>Peter Harper:</t>
        </r>
        <r>
          <rPr>
            <sz val="9"/>
            <color indexed="81"/>
            <rFont val="Tahoma"/>
            <family val="2"/>
          </rPr>
          <t xml:space="preserve">
includes much indirect and industrial power?</t>
        </r>
      </text>
    </comment>
    <comment ref="M11" authorId="0">
      <text>
        <r>
          <rPr>
            <b/>
            <sz val="9"/>
            <color indexed="81"/>
            <rFont val="Tahoma"/>
            <family val="2"/>
          </rPr>
          <t>Peter Harper:</t>
        </r>
        <r>
          <rPr>
            <sz val="9"/>
            <color indexed="81"/>
            <rFont val="Tahoma"/>
            <family val="2"/>
          </rPr>
          <t xml:space="preserve">
This figure is 50% (guesstimate) of combined indirect for HE and MF</t>
        </r>
      </text>
    </comment>
    <comment ref="Y13" authorId="0">
      <text>
        <r>
          <rPr>
            <b/>
            <sz val="9"/>
            <color indexed="81"/>
            <rFont val="Tahoma"/>
            <family val="2"/>
          </rPr>
          <t>Peter Harper:</t>
        </r>
        <r>
          <rPr>
            <sz val="9"/>
            <color indexed="81"/>
            <rFont val="Tahoma"/>
            <family val="2"/>
          </rPr>
          <t xml:space="preserve">
30% of flights are for business and deducted</t>
        </r>
      </text>
    </comment>
    <comment ref="Y18" authorId="0">
      <text>
        <r>
          <rPr>
            <b/>
            <sz val="9"/>
            <color indexed="81"/>
            <rFont val="Tahoma"/>
            <family val="2"/>
          </rPr>
          <t>Peter Harper:</t>
        </r>
        <r>
          <rPr>
            <sz val="9"/>
            <color indexed="81"/>
            <rFont val="Tahoma"/>
            <family val="2"/>
          </rPr>
          <t xml:space="preserve">
WRAPhttp://www.waterfootprint.org/Reports/Water-and-carbon-footprint-food-and-drink-waste-UK-2011.pdf</t>
        </r>
      </text>
    </comment>
    <comment ref="N19" authorId="0">
      <text>
        <r>
          <rPr>
            <b/>
            <sz val="9"/>
            <color indexed="81"/>
            <rFont val="Tahoma"/>
            <family val="2"/>
          </rPr>
          <t>Peter Harper:</t>
        </r>
        <r>
          <rPr>
            <sz val="9"/>
            <color indexed="81"/>
            <rFont val="Tahoma"/>
            <family val="2"/>
          </rPr>
          <t xml:space="preserve">
2.4 added to food</t>
        </r>
      </text>
    </comment>
    <comment ref="AA19" authorId="0">
      <text>
        <r>
          <rPr>
            <b/>
            <sz val="9"/>
            <color indexed="81"/>
            <rFont val="Tahoma"/>
            <family val="2"/>
          </rPr>
          <t>Peter Harper:</t>
        </r>
        <r>
          <rPr>
            <sz val="9"/>
            <color indexed="81"/>
            <rFont val="Tahoma"/>
            <family val="2"/>
          </rPr>
          <t xml:space="preserve">
Based on Audsley 180MtCO2e/y including imports and processing</t>
        </r>
      </text>
    </comment>
    <comment ref="M23" authorId="0">
      <text>
        <r>
          <rPr>
            <b/>
            <sz val="9"/>
            <color indexed="81"/>
            <rFont val="Tahoma"/>
            <family val="2"/>
          </rPr>
          <t>Peter Harper:</t>
        </r>
        <r>
          <rPr>
            <sz val="9"/>
            <color indexed="81"/>
            <rFont val="Tahoma"/>
            <family val="2"/>
          </rPr>
          <t xml:space="preserve">
'Other indirect' split 50:50 across goods and services</t>
        </r>
      </text>
    </comment>
    <comment ref="Y26" authorId="0">
      <text>
        <r>
          <rPr>
            <b/>
            <sz val="9"/>
            <color indexed="81"/>
            <rFont val="Tahoma"/>
            <family val="2"/>
          </rPr>
          <t>Peter Harper:</t>
        </r>
        <r>
          <rPr>
            <sz val="9"/>
            <color indexed="81"/>
            <rFont val="Tahoma"/>
            <family val="2"/>
          </rPr>
          <t xml:space="preserve">
Based on Bananas calculations, p.122 and http://www.theguardian.com/news/datablog/2013/may/13/mortgages-property-debt-uk-trends</t>
        </r>
      </text>
    </comment>
    <comment ref="M28" authorId="0">
      <text>
        <r>
          <rPr>
            <b/>
            <sz val="9"/>
            <color indexed="81"/>
            <rFont val="Tahoma"/>
            <family val="2"/>
          </rPr>
          <t>Peter Harper:</t>
        </r>
        <r>
          <rPr>
            <sz val="9"/>
            <color indexed="81"/>
            <rFont val="Tahoma"/>
            <family val="2"/>
          </rPr>
          <t xml:space="preserve">
'Other indirect' split 50:50 across goods and services</t>
        </r>
      </text>
    </comment>
    <comment ref="N32" authorId="0">
      <text>
        <r>
          <rPr>
            <b/>
            <sz val="9"/>
            <color indexed="81"/>
            <rFont val="Tahoma"/>
            <family val="2"/>
          </rPr>
          <t>Peter Harper:</t>
        </r>
        <r>
          <rPr>
            <sz val="9"/>
            <color indexed="81"/>
            <rFont val="Tahoma"/>
            <family val="2"/>
          </rPr>
          <t xml:space="preserve">
</t>
        </r>
      </text>
    </comment>
  </commentList>
</comments>
</file>

<file path=xl/comments9.xml><?xml version="1.0" encoding="utf-8"?>
<comments xmlns="http://schemas.openxmlformats.org/spreadsheetml/2006/main">
  <authors>
    <author>Peter Harper</author>
  </authors>
  <commentList>
    <comment ref="C5" authorId="0">
      <text>
        <r>
          <rPr>
            <b/>
            <sz val="9"/>
            <color indexed="81"/>
            <rFont val="Tahoma"/>
            <family val="2"/>
          </rPr>
          <t>Peter Harper:</t>
        </r>
        <r>
          <rPr>
            <sz val="9"/>
            <color indexed="81"/>
            <rFont val="Tahoma"/>
            <family val="2"/>
          </rPr>
          <t xml:space="preserve">
There are different estimates for this figure, depending on conventions. Range from 0.88 to 1.14</t>
        </r>
      </text>
    </comment>
    <comment ref="C10" authorId="0">
      <text>
        <r>
          <rPr>
            <b/>
            <sz val="9"/>
            <color indexed="81"/>
            <rFont val="Tahoma"/>
            <family val="2"/>
          </rPr>
          <t>Peter Harper:</t>
        </r>
        <r>
          <rPr>
            <sz val="9"/>
            <color indexed="81"/>
            <rFont val="Tahoma"/>
            <family val="2"/>
          </rPr>
          <t xml:space="preserve">
30% of flights are for business and deducted</t>
        </r>
      </text>
    </comment>
    <comment ref="C19" authorId="0">
      <text>
        <r>
          <rPr>
            <b/>
            <sz val="9"/>
            <color indexed="81"/>
            <rFont val="Tahoma"/>
            <family val="2"/>
          </rPr>
          <t>Peter Harper:</t>
        </r>
        <r>
          <rPr>
            <sz val="9"/>
            <color indexed="81"/>
            <rFont val="Tahoma"/>
            <family val="2"/>
          </rPr>
          <t xml:space="preserve">
Based on Bananas calculations, p.122 and http://www.theguardian.com/news/datablog/2013/may/13/mortgages-property-debt-uk-trends</t>
        </r>
      </text>
    </comment>
  </commentList>
</comments>
</file>

<file path=xl/sharedStrings.xml><?xml version="1.0" encoding="utf-8"?>
<sst xmlns="http://schemas.openxmlformats.org/spreadsheetml/2006/main" count="2088" uniqueCount="1535">
  <si>
    <t>EQUIVALISED ANNUAL INCOMES AND EMISSIONS</t>
  </si>
  <si>
    <t>eai DECILES</t>
  </si>
  <si>
    <t>GHG/cap</t>
  </si>
  <si>
    <t>Gough et al</t>
  </si>
  <si>
    <t>2006 data</t>
  </si>
  <si>
    <t>Ratio 9 to 2</t>
  </si>
  <si>
    <t>EAI/hh</t>
  </si>
  <si>
    <t>http://www.ons.gov.uk/ons/rel/household-income/the-effects-of-taxes-and-benefits-on-household-income/historical-data--1977-2011-12/summary--historical-data--1977-2011-12.html</t>
  </si>
  <si>
    <t>Net coeff</t>
  </si>
  <si>
    <t>Gen formula is em/cap*EXP(0.177*net coeff)</t>
  </si>
  <si>
    <t>GOOD</t>
  </si>
  <si>
    <t>Need to normalise at 2.4 average hh size (ONS 2012)</t>
  </si>
  <si>
    <t>average em/cap</t>
  </si>
  <si>
    <t>Buechs &amp; Schnepf</t>
  </si>
  <si>
    <t>AVG HH SIZE</t>
  </si>
  <si>
    <t>AVG PER CAP GHGE</t>
  </si>
  <si>
    <t>AVG HH GHGE</t>
  </si>
  <si>
    <t>AVG HH INCOME</t>
  </si>
  <si>
    <t>GROSS INCOME</t>
  </si>
  <si>
    <t>GROSS EXPENDITURE</t>
  </si>
  <si>
    <t>GROSS CONSUMPTION</t>
  </si>
  <si>
    <t>UK GDP/HH</t>
  </si>
  <si>
    <t>OF WHICH 60%</t>
  </si>
  <si>
    <t>UK INTENSITY</t>
  </si>
  <si>
    <t>HH INTENSITY?</t>
  </si>
  <si>
    <t>AVG</t>
  </si>
  <si>
    <t>LOW DEC</t>
  </si>
  <si>
    <t>HIGH DEC</t>
  </si>
  <si>
    <t>PER HEAD</t>
  </si>
  <si>
    <t>NEW CROWN JEWELS?</t>
  </si>
  <si>
    <t>GAS</t>
  </si>
  <si>
    <t>EL</t>
  </si>
  <si>
    <t>OTHER HE</t>
  </si>
  <si>
    <t>INDIRECT HE</t>
  </si>
  <si>
    <t>MOTOR FUELS</t>
  </si>
  <si>
    <t>INDIRECT MF</t>
  </si>
  <si>
    <t>PUBLIC SURFACE</t>
  </si>
  <si>
    <t>FLIGHTS</t>
  </si>
  <si>
    <t>CARS AND REPAIRS</t>
  </si>
  <si>
    <t>FOOD</t>
  </si>
  <si>
    <t>RECREATION</t>
  </si>
  <si>
    <t>CLOTHING</t>
  </si>
  <si>
    <t>FURNITURE, APPLIANCE, TOOLS</t>
  </si>
  <si>
    <t>PERSONAL CARE</t>
  </si>
  <si>
    <t>CONSIDER BUECHS &amp; SCHNEPF CO2 ONLY, NO INFRA, WHOLE HH</t>
  </si>
  <si>
    <t>OTHER GOODS</t>
  </si>
  <si>
    <t>OTHER SERVICES</t>
  </si>
  <si>
    <t>HE TOTAL</t>
  </si>
  <si>
    <t>TRANSPORT TOTAL</t>
  </si>
  <si>
    <t>FOOD TOTAL</t>
  </si>
  <si>
    <t>GOODS TOTAL</t>
  </si>
  <si>
    <t>SERVICES TOTAL</t>
  </si>
  <si>
    <t>PUBLIC SERVICES</t>
  </si>
  <si>
    <t>TOTALS</t>
  </si>
  <si>
    <t>NEW TOTAL</t>
  </si>
  <si>
    <t>%</t>
  </si>
  <si>
    <t>SUBTOTALS</t>
  </si>
  <si>
    <t>GOUGH</t>
  </si>
  <si>
    <t>GOUGH WITH PUBLIC</t>
  </si>
  <si>
    <t>CORRECTION FOR NON-CO2</t>
  </si>
  <si>
    <t>CATERING AND HOTELS</t>
  </si>
  <si>
    <t>JACKSON</t>
  </si>
  <si>
    <t>Jackson corrected</t>
  </si>
  <si>
    <t>Bananas</t>
  </si>
  <si>
    <t>862/59</t>
  </si>
  <si>
    <t>2.4 food 2, 0ther</t>
  </si>
  <si>
    <t>Boardman Home Truths</t>
  </si>
  <si>
    <t>930MtCO2e/y</t>
  </si>
  <si>
    <t>2.4/hh</t>
  </si>
  <si>
    <t>26m hh</t>
  </si>
  <si>
    <t>62m people</t>
  </si>
  <si>
    <t>36tCO2e/hh/y</t>
  </si>
  <si>
    <t>purchase and maint</t>
  </si>
  <si>
    <t>public</t>
  </si>
  <si>
    <t>holiday journeys</t>
  </si>
  <si>
    <t>Farming</t>
  </si>
  <si>
    <t>Processing</t>
  </si>
  <si>
    <t>CONSTRUCTION</t>
  </si>
  <si>
    <t>Construction</t>
  </si>
  <si>
    <t>Clothing</t>
  </si>
  <si>
    <t>Durable goods</t>
  </si>
  <si>
    <t>Catering and hotels</t>
  </si>
  <si>
    <t>Recreation</t>
  </si>
  <si>
    <t>Personal care</t>
  </si>
  <si>
    <t>Mortgages</t>
  </si>
  <si>
    <t>Public services and investment</t>
  </si>
  <si>
    <t>Other goods and business emissions</t>
  </si>
  <si>
    <t>Other services and business emissions</t>
  </si>
  <si>
    <t>Food waste</t>
  </si>
  <si>
    <t>Water Heating</t>
  </si>
  <si>
    <t>Appliances</t>
  </si>
  <si>
    <t>Space Heating</t>
  </si>
  <si>
    <t>Motor Fuels</t>
  </si>
  <si>
    <t>Appliances and cooking</t>
  </si>
  <si>
    <t>VERY LOW</t>
  </si>
  <si>
    <t>AVERAGE</t>
  </si>
  <si>
    <t>VERY HIGH</t>
  </si>
  <si>
    <t>LOWER THAN AVERAGE</t>
  </si>
  <si>
    <t>HIGHER THAN AVERAGE</t>
  </si>
  <si>
    <t>EXTREMELY HIGH</t>
  </si>
  <si>
    <t>ONS DECILES</t>
  </si>
  <si>
    <t>ROUNDED</t>
  </si>
  <si>
    <t>LABELS</t>
  </si>
  <si>
    <t>FORMULA</t>
  </si>
  <si>
    <t>INCSCORE</t>
  </si>
  <si>
    <t>OCCSCORE</t>
  </si>
  <si>
    <t>HH SIZE</t>
  </si>
  <si>
    <t>AV GHGE</t>
  </si>
  <si>
    <t>DERIVED FROM GOUGH ET AL 2012</t>
  </si>
  <si>
    <t>HE</t>
  </si>
  <si>
    <t>PUBLIC</t>
  </si>
  <si>
    <t>SERVICES</t>
  </si>
  <si>
    <t>GOODS</t>
  </si>
  <si>
    <t>TRAVEL</t>
  </si>
  <si>
    <t>ELASTICITIES</t>
  </si>
  <si>
    <t>EQUIVALISED DISPOSABLE INCOME DECILES 2006</t>
  </si>
  <si>
    <t>Strong</t>
  </si>
  <si>
    <t>elasticity&gt;0.9</t>
  </si>
  <si>
    <t>Moderate effect</t>
  </si>
  <si>
    <t>No effect in bottom 5 deciles; prob confounded with house size at upper deciles</t>
  </si>
  <si>
    <t>elasticty ~0.3</t>
  </si>
  <si>
    <t xml:space="preserve">Very strong </t>
  </si>
  <si>
    <t>elasiticy ~0.5</t>
  </si>
  <si>
    <t>services</t>
  </si>
  <si>
    <t>Negative</t>
  </si>
  <si>
    <t>emissions data from Gough et al.  2012</t>
  </si>
  <si>
    <t>OCCUPANCY ELASTICITIES</t>
  </si>
  <si>
    <t>According to Gough et al, correlation is neglible with transport and goods</t>
  </si>
  <si>
    <t>Small and negative for food (-0.17) and services (-0.13)</t>
  </si>
  <si>
    <t>Strong and negative for HE (-0.47)</t>
  </si>
  <si>
    <t>Test these apoproximations</t>
  </si>
  <si>
    <t>Income ELASTICITIES</t>
  </si>
  <si>
    <t>per cap kg</t>
  </si>
  <si>
    <t>BEST FORMULA MATCHES DATA WELL -.0012x^2+0.3365x+8.1</t>
  </si>
  <si>
    <t>But linear in 7 upper deciles, slope of 0.425</t>
  </si>
  <si>
    <t>Especially if top decile excluded</t>
  </si>
  <si>
    <t>PEOPLE</t>
  </si>
  <si>
    <t>Average</t>
  </si>
  <si>
    <t>Very low</t>
  </si>
  <si>
    <t>Very high</t>
  </si>
  <si>
    <t>y = 0.0586x + 0.499</t>
  </si>
  <si>
    <t>Goods lower 9</t>
  </si>
  <si>
    <t>THESE RECALCULATED TOTALS ARE CLOSE BUT NOT EXACT</t>
  </si>
  <si>
    <t>Dan's formula for Heating was</t>
  </si>
  <si>
    <t>c+x/people^n</t>
  </si>
  <si>
    <t>Where c=0.42, x=0.9, n=0.5</t>
  </si>
  <si>
    <t>This generates a coefficient normalised on 2.4</t>
  </si>
  <si>
    <t>Dan's formula modified</t>
  </si>
  <si>
    <t>are these large reductions plausible?</t>
  </si>
  <si>
    <t>Something needs to be pretty strong to create the overall occupancy effect</t>
  </si>
  <si>
    <t>Dan</t>
  </si>
  <si>
    <t>Borrowed occ</t>
  </si>
  <si>
    <t>For HE at decile 1</t>
  </si>
  <si>
    <t>HE at decile 10</t>
  </si>
  <si>
    <t>higher elasticities</t>
  </si>
  <si>
    <t>lower elasticities</t>
  </si>
  <si>
    <t>INCOME ELASTICITIES OF MAIN SECTORS</t>
  </si>
  <si>
    <t>Better?</t>
  </si>
  <si>
    <t>Overall, a coefficient of 0.177 is reported</t>
  </si>
  <si>
    <t>This must be made up of elements both greater and smaller.</t>
  </si>
  <si>
    <t>Within HE heating must be the key factor, and cooking less, WH less still. Any data?</t>
  </si>
  <si>
    <t>Transport must have some effect on account of car occupancy, especially with children, but reported as negligible</t>
  </si>
  <si>
    <r>
      <t xml:space="preserve">Goods </t>
    </r>
    <r>
      <rPr>
        <i/>
        <sz val="11"/>
        <color indexed="8"/>
        <rFont val="Calibri"/>
        <family val="2"/>
      </rPr>
      <t>must</t>
    </r>
    <r>
      <rPr>
        <sz val="11"/>
        <color theme="1"/>
        <rFont val="Calibri"/>
        <family val="2"/>
        <scheme val="minor"/>
      </rPr>
      <t xml:space="preserve"> include house and furniture, much shared.</t>
    </r>
  </si>
  <si>
    <t>4:1 ratio</t>
  </si>
  <si>
    <t>4:1 ratio:</t>
  </si>
  <si>
    <t>6:3 ratio</t>
  </si>
  <si>
    <t>Normalised at ~10</t>
  </si>
  <si>
    <t>Normalised at 15</t>
  </si>
  <si>
    <t>Gough</t>
  </si>
  <si>
    <t>Buechs</t>
  </si>
  <si>
    <t>COMPARE MINX</t>
  </si>
  <si>
    <t>MINX</t>
  </si>
  <si>
    <t>Disposable income</t>
  </si>
  <si>
    <t>disposable correction</t>
  </si>
  <si>
    <t>Buechs only doing CO2: would that make a difference? Food?</t>
  </si>
  <si>
    <t>Tests of varous coefficients</t>
  </si>
  <si>
    <t>Decile1</t>
  </si>
  <si>
    <t>Decile 10</t>
  </si>
  <si>
    <t>Top</t>
  </si>
  <si>
    <t>Values in £1000/hh/y</t>
  </si>
  <si>
    <t>HH avg</t>
  </si>
  <si>
    <t>Gough's result must arise from a particular definition of goods, that they call 'consumables'</t>
  </si>
  <si>
    <t>They report a negative correlation with hh size and 'other housing', possibly fabric and fixtures</t>
  </si>
  <si>
    <t>Average case</t>
  </si>
  <si>
    <t>COEFF</t>
  </si>
  <si>
    <t>Bu note Buechs appears to report 0.0917</t>
  </si>
  <si>
    <t>Trial system</t>
  </si>
  <si>
    <t>Coeff 0.0951, between Buechs and Gough</t>
  </si>
  <si>
    <t>ADOPT THIS SYSTEM</t>
  </si>
  <si>
    <t>THESE CONVENTIONS</t>
  </si>
  <si>
    <t>GHGE/cap</t>
  </si>
  <si>
    <t>GHGE/hh</t>
  </si>
  <si>
    <t>£/wk</t>
  </si>
  <si>
    <t>£//1000</t>
  </si>
  <si>
    <t>y=0.32x+3.75</t>
  </si>
  <si>
    <t>Top decile</t>
  </si>
  <si>
    <t>5TH</t>
  </si>
  <si>
    <t xml:space="preserve">VALUES ADOPTED FOR PRINCIPAL SUBCATEGORIES </t>
  </si>
  <si>
    <t>CONSISTENT WITH MAIN CATEGORY AVERAGES</t>
  </si>
  <si>
    <t>PRIVATE SERVICES</t>
  </si>
  <si>
    <t>MATERIAL GOODS</t>
  </si>
  <si>
    <t>HOUSE ENERGY</t>
  </si>
  <si>
    <t>UPPER 9</t>
  </si>
  <si>
    <t>THIS PAGE REPRESENTS INITIAL ELASTICIY CALCULATIONS FROM DATA IN GOUGH ET AL</t>
  </si>
  <si>
    <t>THEY ARE NOT FULLY CONSISTENT WITH 'RECENT' DATA ADOPTED WHERE THE PROPORTIONS ARE SOMEWHAT DIFFERENT</t>
  </si>
  <si>
    <t>IN PARTICULAR GOODS AND FOOD ARE HIGHER, HE LOWER</t>
  </si>
  <si>
    <t>FIGURES ARE COPIED IN 'AMENDMENT' SHEET AND ADJUSTED</t>
  </si>
  <si>
    <t>% OLD</t>
  </si>
  <si>
    <t>% NEW</t>
  </si>
  <si>
    <t>DATA ADJUSTED ACCORDING TO PROPORTIONS IN "% NEW AND OLD"</t>
  </si>
  <si>
    <t>y = 0.0253x + 1.7263</t>
  </si>
  <si>
    <t>TOP 7</t>
  </si>
  <si>
    <r>
      <t>y = -0.0008x</t>
    </r>
    <r>
      <rPr>
        <vertAlign val="superscript"/>
        <sz val="10"/>
        <color indexed="8"/>
        <rFont val="Calibri"/>
        <family val="2"/>
      </rPr>
      <t>2</t>
    </r>
    <r>
      <rPr>
        <sz val="10"/>
        <color indexed="8"/>
        <rFont val="Calibri"/>
        <family val="2"/>
      </rPr>
      <t xml:space="preserve"> + 0.1569x + 0.4521</t>
    </r>
  </si>
  <si>
    <r>
      <t>y = -0.000418x</t>
    </r>
    <r>
      <rPr>
        <vertAlign val="superscript"/>
        <sz val="10"/>
        <color indexed="8"/>
        <rFont val="Calibri"/>
        <family val="2"/>
      </rPr>
      <t>2</t>
    </r>
    <r>
      <rPr>
        <sz val="10"/>
        <color indexed="8"/>
        <rFont val="Calibri"/>
        <family val="2"/>
      </rPr>
      <t xml:space="preserve"> + 0.059695x + 1.846549</t>
    </r>
  </si>
  <si>
    <r>
      <t>y = -0.000704x</t>
    </r>
    <r>
      <rPr>
        <vertAlign val="superscript"/>
        <sz val="10"/>
        <color indexed="8"/>
        <rFont val="Calibri"/>
        <family val="2"/>
      </rPr>
      <t>2</t>
    </r>
    <r>
      <rPr>
        <sz val="10"/>
        <color indexed="8"/>
        <rFont val="Calibri"/>
        <family val="2"/>
      </rPr>
      <t xml:space="preserve"> + 0.119931x + 0.524169</t>
    </r>
  </si>
  <si>
    <t>y = 0.0517x + 0.6665</t>
  </si>
  <si>
    <r>
      <t>y = 3.7795x</t>
    </r>
    <r>
      <rPr>
        <vertAlign val="superscript"/>
        <sz val="10"/>
        <color indexed="8"/>
        <rFont val="Calibri"/>
        <family val="2"/>
      </rPr>
      <t>-0.184</t>
    </r>
  </si>
  <si>
    <t>Upper 9</t>
  </si>
  <si>
    <t>INCEM</t>
  </si>
  <si>
    <t>tCO23e/head/year</t>
  </si>
  <si>
    <t>£1000 disposable annual income</t>
  </si>
  <si>
    <t>AVHH</t>
  </si>
  <si>
    <t>PUBCO</t>
  </si>
  <si>
    <t>SERVCO</t>
  </si>
  <si>
    <t>GOODSCO</t>
  </si>
  <si>
    <t>FOODCO</t>
  </si>
  <si>
    <t>TRAVCO</t>
  </si>
  <si>
    <t>HECO</t>
  </si>
  <si>
    <t>INSTANT FOOTPRINT</t>
  </si>
  <si>
    <t>PUBVAL1</t>
  </si>
  <si>
    <t>SERVVAL1</t>
  </si>
  <si>
    <t>GOODSVAL1</t>
  </si>
  <si>
    <t>FOODVAL1</t>
  </si>
  <si>
    <t>TRAVVAL1</t>
  </si>
  <si>
    <t>HEVAL1</t>
  </si>
  <si>
    <t>LOWER THAN AVERAGE, 5 PEOPLE</t>
  </si>
  <si>
    <t>LOWER THAN AVERAGE, 2 PEOPLE</t>
  </si>
  <si>
    <t>VERY HIGH, 5 PEOPLE</t>
  </si>
  <si>
    <t>AVERAGE HOUSE, 2.4 PEOPLE</t>
  </si>
  <si>
    <t>VERY HIGH,2 PEOPLE</t>
  </si>
  <si>
    <t>gCO2e/min</t>
  </si>
  <si>
    <t>WH</t>
  </si>
  <si>
    <t>Bath</t>
  </si>
  <si>
    <t>litres</t>
  </si>
  <si>
    <t>Shower</t>
  </si>
  <si>
    <t>litres/min</t>
  </si>
  <si>
    <t>Temp</t>
  </si>
  <si>
    <t>degC</t>
  </si>
  <si>
    <t>From</t>
  </si>
  <si>
    <t>Energy</t>
  </si>
  <si>
    <t>80*40=3200</t>
  </si>
  <si>
    <t>kJ/litre</t>
  </si>
  <si>
    <t>kJ</t>
  </si>
  <si>
    <t>kJ/min</t>
  </si>
  <si>
    <t>40*7.5=270</t>
  </si>
  <si>
    <t>Boiler eff</t>
  </si>
  <si>
    <t>Delivered</t>
  </si>
  <si>
    <t>270/0.8=338</t>
  </si>
  <si>
    <t>In kWh</t>
  </si>
  <si>
    <t>kWh</t>
  </si>
  <si>
    <t>conversion factor</t>
  </si>
  <si>
    <t>kgCO2/min</t>
  </si>
  <si>
    <t>Emission/min</t>
  </si>
  <si>
    <t>0.0938*0.22=0.021</t>
  </si>
  <si>
    <t>Electric shower</t>
  </si>
  <si>
    <t>Efficiency</t>
  </si>
  <si>
    <t>in kWh</t>
  </si>
  <si>
    <t>4/3.6=1.1</t>
  </si>
  <si>
    <t>TOTAL</t>
  </si>
  <si>
    <t>kgCO2/kWh</t>
  </si>
  <si>
    <t>kg/bath</t>
  </si>
  <si>
    <t>KG/MIN</t>
  </si>
  <si>
    <t>kg/typical shower</t>
  </si>
  <si>
    <t>Annual</t>
  </si>
  <si>
    <t>total</t>
  </si>
  <si>
    <t>kg/y</t>
  </si>
  <si>
    <t>at 100% eff</t>
  </si>
  <si>
    <t>washing</t>
  </si>
  <si>
    <t>kgCO2</t>
  </si>
  <si>
    <t>3kW</t>
  </si>
  <si>
    <t>18-min shower</t>
  </si>
  <si>
    <t>3200/.8=40</t>
  </si>
  <si>
    <t>MJ</t>
  </si>
  <si>
    <t>EST figures for HH consumption</t>
  </si>
  <si>
    <t>kg/y!</t>
  </si>
  <si>
    <t>gas</t>
  </si>
  <si>
    <t>el</t>
  </si>
  <si>
    <t>Size of house</t>
  </si>
  <si>
    <t>18gCO2e/min</t>
  </si>
  <si>
    <t>5 min</t>
  </si>
  <si>
    <t>Daily</t>
  </si>
  <si>
    <t>20 min</t>
  </si>
  <si>
    <t>13kg!</t>
  </si>
  <si>
    <t>3kg!</t>
  </si>
  <si>
    <t>INCOME</t>
  </si>
  <si>
    <t>OCCNORM</t>
  </si>
  <si>
    <t xml:space="preserve">Lighting </t>
  </si>
  <si>
    <t>MWh/HH</t>
  </si>
  <si>
    <t>SH</t>
  </si>
  <si>
    <t>Cooking</t>
  </si>
  <si>
    <t>Avg case</t>
  </si>
  <si>
    <t>5 people</t>
  </si>
  <si>
    <t>Large hse</t>
  </si>
  <si>
    <t>Both</t>
  </si>
  <si>
    <t>((90*(Roomno*15/90)*0.033)/PEOPLE)/EXP(HECO*AVHH-People)</t>
  </si>
  <si>
    <t>2 people</t>
  </si>
  <si>
    <t>TRIAL FORMULAE FOR RELATING SH TO DWELLING SIZE</t>
  </si>
  <si>
    <t>ROOMNO</t>
  </si>
  <si>
    <t>AVAREA</t>
  </si>
  <si>
    <t>AVERAGE CASE</t>
  </si>
  <si>
    <t>AVROOM</t>
  </si>
  <si>
    <t>Proportion of SH per m^2</t>
  </si>
  <si>
    <t>AREAFAC</t>
  </si>
  <si>
    <t>SH Emissions</t>
  </si>
  <si>
    <t>7 rooms</t>
  </si>
  <si>
    <t>9 rooms</t>
  </si>
  <si>
    <t>t per room at 15m^2 and 67kg/m^2</t>
  </si>
  <si>
    <t>5 rooms</t>
  </si>
  <si>
    <t>4 rooms</t>
  </si>
  <si>
    <t>3 rooms</t>
  </si>
  <si>
    <t>t per room at 15m^2 and 30kg/m^2</t>
  </si>
  <si>
    <t>3-(3*AREAFAC)*(AVAREA-ROOMNO*AVROOM)</t>
  </si>
  <si>
    <t>At 1% of input/m^2</t>
  </si>
  <si>
    <t>Per cap</t>
  </si>
  <si>
    <t>Sharing correction</t>
  </si>
  <si>
    <t>FINAL PER CAP SH ADJUSTMENT FOR HOUSE SIZE</t>
  </si>
  <si>
    <t>Occupants</t>
  </si>
  <si>
    <t>((OUTPUT VALUE)-(OV*AREAFAC)*(avarea-roomno*avroom))*(OV/AVHH*EXP(HECO*OCCNORM)</t>
  </si>
  <si>
    <t>TEST</t>
  </si>
  <si>
    <t>Sy we had a well-insulated house with all the best bits, SH emissions 2t/y</t>
  </si>
  <si>
    <t>It has 4 occupants and 7 rooms</t>
  </si>
  <si>
    <t>Sharing coefficients</t>
  </si>
  <si>
    <t>TRAVEL ALGORITHMS</t>
  </si>
  <si>
    <t>Younger people in family will generally be driven around</t>
  </si>
  <si>
    <t>They will not take part in most journeys</t>
  </si>
  <si>
    <t>Public transport</t>
  </si>
  <si>
    <t>Purchase and maintenance</t>
  </si>
  <si>
    <t>Holiday journeys</t>
  </si>
  <si>
    <t>HH</t>
  </si>
  <si>
    <t>per cap</t>
  </si>
  <si>
    <t>Big car</t>
  </si>
  <si>
    <t>Medium car</t>
  </si>
  <si>
    <t>small car</t>
  </si>
  <si>
    <t>Electric car</t>
  </si>
  <si>
    <t>Hired or car club</t>
  </si>
  <si>
    <t>Much more</t>
  </si>
  <si>
    <t>More</t>
  </si>
  <si>
    <t>Less</t>
  </si>
  <si>
    <t>Much less</t>
  </si>
  <si>
    <t>Motorcycle or scooter</t>
  </si>
  <si>
    <t>7000 miles av distance travelled per cap</t>
  </si>
  <si>
    <t>20^0.15</t>
  </si>
  <si>
    <t>Nevertheless it is far too complex to analyse their journeys</t>
  </si>
  <si>
    <t>Two avenues</t>
  </si>
  <si>
    <t>Use income as a proxy and allocate kids fractional occupancies</t>
  </si>
  <si>
    <t>Start with average and ask questions about vehicles and mileage</t>
  </si>
  <si>
    <t>DISTANCE BY CAR 2010-12</t>
  </si>
  <si>
    <t>Round to 5300</t>
  </si>
  <si>
    <t>miles</t>
  </si>
  <si>
    <t>No car / van</t>
  </si>
  <si>
    <t>One car / van</t>
  </si>
  <si>
    <t>Two or more cars / vans</t>
  </si>
  <si>
    <t>all UK</t>
  </si>
  <si>
    <t>Distance per person per year by mode:</t>
  </si>
  <si>
    <t>Walk</t>
  </si>
  <si>
    <t>Bicycle</t>
  </si>
  <si>
    <t>Car / van driver</t>
  </si>
  <si>
    <t>Car / van passenger</t>
  </si>
  <si>
    <t>Local and non-local buses</t>
  </si>
  <si>
    <t>All modes</t>
  </si>
  <si>
    <t>Data fdrom National Travel Survey 2012</t>
  </si>
  <si>
    <t>income quntiles</t>
  </si>
  <si>
    <t>ALL CAR</t>
  </si>
  <si>
    <t>ALL PUBLIC</t>
  </si>
  <si>
    <t>Cars/vans/HH</t>
  </si>
  <si>
    <t>steady for last 5 years</t>
  </si>
  <si>
    <t>This is approximately right</t>
  </si>
  <si>
    <t>Assume average HH has one car of medium size</t>
  </si>
  <si>
    <t>Deciles</t>
  </si>
  <si>
    <t>From Old Dan's</t>
  </si>
  <si>
    <t>average HH 3.3</t>
  </si>
  <si>
    <t>Flat till top quintile</t>
  </si>
  <si>
    <t>Top quintile double</t>
  </si>
  <si>
    <t>NTS 2012</t>
  </si>
  <si>
    <t>Public T = Fuelks*0.3</t>
  </si>
  <si>
    <t>Plus purch &amp;maint = fuels*0.5</t>
  </si>
  <si>
    <t>INCOME APPROACH</t>
  </si>
  <si>
    <t>Is  at least one vehicle owned by the household?</t>
  </si>
  <si>
    <t>Yes</t>
  </si>
  <si>
    <t>No</t>
  </si>
  <si>
    <t>Car club vehicle</t>
  </si>
  <si>
    <t>Guesstimate</t>
  </si>
  <si>
    <t>Feed these into per cap and occupancy adjustments with SC of 0.2</t>
  </si>
  <si>
    <t>Adjust by EXP(0.2*OCCNORM)</t>
  </si>
  <si>
    <t>Size</t>
  </si>
  <si>
    <t>Mileage per year</t>
  </si>
  <si>
    <t>Type</t>
  </si>
  <si>
    <t>Large</t>
  </si>
  <si>
    <t>Medium</t>
  </si>
  <si>
    <t>Small</t>
  </si>
  <si>
    <t>Petrol</t>
  </si>
  <si>
    <t>Diesel</t>
  </si>
  <si>
    <t>A bit more</t>
  </si>
  <si>
    <t>A bit less</t>
  </si>
  <si>
    <t>Car Club</t>
  </si>
  <si>
    <t>Motorbike</t>
  </si>
  <si>
    <t>25% more</t>
  </si>
  <si>
    <t>25% less</t>
  </si>
  <si>
    <t>75% less</t>
  </si>
  <si>
    <t>Hybrid or electric</t>
  </si>
  <si>
    <t>Any other</t>
  </si>
  <si>
    <t>376g/mile</t>
  </si>
  <si>
    <t>Formula =   Mileage factor*Type factor*Size factor</t>
  </si>
  <si>
    <t>Purchase and maintenance = emissions factor *0.5/type factor (does not correspond)</t>
  </si>
  <si>
    <t>Per cap:</t>
  </si>
  <si>
    <t>(Result/2.4)*EXP(0.2*SC)</t>
  </si>
  <si>
    <t>more sharing for younger people</t>
  </si>
  <si>
    <t>even more sharing for capital equipment</t>
  </si>
  <si>
    <t>Lifts with other people</t>
  </si>
  <si>
    <t>100% more</t>
  </si>
  <si>
    <t>If lifts or car club *0.2/type factor</t>
  </si>
  <si>
    <t>What private vehicles are used by members of the household?</t>
  </si>
  <si>
    <t>One or more private vehicles</t>
  </si>
  <si>
    <t>None</t>
  </si>
  <si>
    <t>Vehicle hired or belonging to Car Club</t>
  </si>
  <si>
    <t>VEHC</t>
  </si>
  <si>
    <t>TRAFUELS</t>
  </si>
  <si>
    <t>HHTRAFUELS</t>
  </si>
  <si>
    <t>PURCHMAINT</t>
  </si>
  <si>
    <t>PUBT</t>
  </si>
  <si>
    <t>If yes, use Gough formula with purchase and maintenance *0.5, SC 0.15 for fuel, 0.3 for capital (more sharing)</t>
  </si>
  <si>
    <t>If car club, fuel*0.5,SC 0.1, P&amp;M *0.2, SC 0.1</t>
  </si>
  <si>
    <t>If no, use public transport value*2, P&amp;M 0.05, no sharing</t>
  </si>
  <si>
    <t>A</t>
  </si>
  <si>
    <t>B</t>
  </si>
  <si>
    <t>C</t>
  </si>
  <si>
    <t>Product ABC</t>
  </si>
  <si>
    <t>Average distance per vehicle-y</t>
  </si>
  <si>
    <t>8430 in 2010</t>
  </si>
  <si>
    <t>prob more</t>
  </si>
  <si>
    <t>Use</t>
  </si>
  <si>
    <t>AVMILES</t>
  </si>
  <si>
    <t>Fuel sharing adjustmt</t>
  </si>
  <si>
    <t>P&amp;M occupancy Sharing</t>
  </si>
  <si>
    <t>TRAFUEL 2</t>
  </si>
  <si>
    <t>PANDM2</t>
  </si>
  <si>
    <t>PUBT2</t>
  </si>
  <si>
    <t>Public</t>
  </si>
  <si>
    <t>Purch and Maint</t>
  </si>
  <si>
    <t>Fuels</t>
  </si>
  <si>
    <t>http://webarchive.nationalarchives.gov.uk/20110118095356/http:/www.cabe.org.uk/files/dwelling-size-survey.pdf</t>
  </si>
  <si>
    <t>This is not linear, suggests a better approach to relating Roomno and size</t>
  </si>
  <si>
    <t>Flats</t>
  </si>
  <si>
    <t>Houses</t>
  </si>
  <si>
    <t>But what about the other rooms?</t>
  </si>
  <si>
    <t>If average bdr is 3 and average room number is 6, simple formula is Bdrno+3</t>
  </si>
  <si>
    <t>But this cannot be right: presumably the extra rooms grow in some proportion</t>
  </si>
  <si>
    <t>Say 1+Bdrno*1.6</t>
  </si>
  <si>
    <t>House with 4 and 5 rooms</t>
  </si>
  <si>
    <t>Middle East/North Africa</t>
  </si>
  <si>
    <t>South Asia/Southern Africa/USA</t>
  </si>
  <si>
    <t>Australasia</t>
  </si>
  <si>
    <t>South America</t>
  </si>
  <si>
    <t>Far East</t>
  </si>
  <si>
    <t>South and Eastern Europe</t>
  </si>
  <si>
    <t>NB over half the UK pop do not fly at all in any one year</t>
  </si>
  <si>
    <t>UKPUB</t>
  </si>
  <si>
    <t>UKCAR</t>
  </si>
  <si>
    <t>EUPUB</t>
  </si>
  <si>
    <t>EUCAR</t>
  </si>
  <si>
    <t>NWEU</t>
  </si>
  <si>
    <t>SEEU</t>
  </si>
  <si>
    <t>MENA</t>
  </si>
  <si>
    <t>USA</t>
  </si>
  <si>
    <t>SA</t>
  </si>
  <si>
    <t>FEAST</t>
  </si>
  <si>
    <t>AUS</t>
  </si>
  <si>
    <t>162/mile</t>
  </si>
  <si>
    <t>FLYFACTOR</t>
  </si>
  <si>
    <t>MULTIPLIER</t>
  </si>
  <si>
    <t>Assumed to be round trips</t>
  </si>
  <si>
    <t>carbonindependent</t>
  </si>
  <si>
    <t>DISTANCE</t>
  </si>
  <si>
    <t>kgCO2e</t>
  </si>
  <si>
    <t>Attempt to provide an instant dietary profile</t>
  </si>
  <si>
    <t>Item</t>
  </si>
  <si>
    <t>GHG per unit</t>
  </si>
  <si>
    <t xml:space="preserve">% </t>
  </si>
  <si>
    <t>g in current diet</t>
  </si>
  <si>
    <t>Red meat</t>
  </si>
  <si>
    <t>White meat</t>
  </si>
  <si>
    <t>Dairy and Eggs</t>
  </si>
  <si>
    <t>Fish</t>
  </si>
  <si>
    <t>Bread, flours cereals</t>
  </si>
  <si>
    <t>Potatoes</t>
  </si>
  <si>
    <t>Cakes, sweets and snacks</t>
  </si>
  <si>
    <t>Seasonal and dried fruit</t>
  </si>
  <si>
    <t>Exotic fruits</t>
  </si>
  <si>
    <t>Seasonal vegetables</t>
  </si>
  <si>
    <t>Imported and greenhouse vegetables</t>
  </si>
  <si>
    <t>Non-meat high-protein foods</t>
  </si>
  <si>
    <t>per day</t>
  </si>
  <si>
    <t>25% undercounting</t>
  </si>
  <si>
    <t>25 waste</t>
  </si>
  <si>
    <t>Standard UK dietary proportions</t>
  </si>
  <si>
    <t>Tudge-type</t>
  </si>
  <si>
    <t>Clever vegan</t>
  </si>
  <si>
    <t>High meat</t>
  </si>
  <si>
    <t>Substitute lacto</t>
  </si>
  <si>
    <t>Junkfood vegan</t>
  </si>
  <si>
    <t>Gorilla</t>
  </si>
  <si>
    <t>Light lacto</t>
  </si>
  <si>
    <t>Glutton</t>
  </si>
  <si>
    <t>Waste</t>
  </si>
  <si>
    <t>Not at all</t>
  </si>
  <si>
    <t>A bit/occasionally</t>
  </si>
  <si>
    <t>Regularly</t>
  </si>
  <si>
    <t>A lot</t>
  </si>
  <si>
    <t>Do you ever throw food away?</t>
  </si>
  <si>
    <t>READY</t>
  </si>
  <si>
    <t>LOCAL</t>
  </si>
  <si>
    <t>ORG</t>
  </si>
  <si>
    <t>CHUCK</t>
  </si>
  <si>
    <t>GYO</t>
  </si>
  <si>
    <t>Values</t>
  </si>
  <si>
    <t>Not</t>
  </si>
  <si>
    <t>A bit</t>
  </si>
  <si>
    <t>nudges/guesstimates</t>
  </si>
  <si>
    <t>FARM</t>
  </si>
  <si>
    <t>PROC</t>
  </si>
  <si>
    <t>WASTE</t>
  </si>
  <si>
    <t>Coefficient for PROC</t>
  </si>
  <si>
    <t>Coefficient for WASTE</t>
  </si>
  <si>
    <t>Deduction from FARM</t>
  </si>
  <si>
    <t>Do you grow fruit and vegetables?</t>
  </si>
  <si>
    <t>LCO</t>
  </si>
  <si>
    <t>RCO</t>
  </si>
  <si>
    <t>OCO</t>
  </si>
  <si>
    <t>WCO</t>
  </si>
  <si>
    <t>GCO</t>
  </si>
  <si>
    <t>PREFARM</t>
  </si>
  <si>
    <t>PREPROC</t>
  </si>
  <si>
    <t>PREWASTE</t>
  </si>
  <si>
    <t>Step 1</t>
  </si>
  <si>
    <t>Using data collected by Laura Blake</t>
  </si>
  <si>
    <t>PREFOOD</t>
  </si>
  <si>
    <t>Sum to check</t>
  </si>
  <si>
    <t>Do you have frozen and ready meals?</t>
  </si>
  <si>
    <t>% FARM</t>
  </si>
  <si>
    <t>STEREOTYPES</t>
  </si>
  <si>
    <t>ADJUST HERE</t>
  </si>
  <si>
    <t>at 34kg/m^2</t>
  </si>
  <si>
    <t>So: alternative method</t>
  </si>
  <si>
    <t>TFA</t>
  </si>
  <si>
    <t>IGNORE GREYED SECTION AS EARLY TRIAL</t>
  </si>
  <si>
    <t>SIZEST</t>
  </si>
  <si>
    <t>IT TAKES THE PRELIMINARY ESTIMATE FROM DWELLING SIZE AND MODIFIES</t>
  </si>
  <si>
    <t>End terrace</t>
  </si>
  <si>
    <t>Mid terrace</t>
  </si>
  <si>
    <t>Semi-detached</t>
  </si>
  <si>
    <t>Detached</t>
  </si>
  <si>
    <t>Bungalow</t>
  </si>
  <si>
    <t>Flat</t>
  </si>
  <si>
    <t>DWELLING TYPE</t>
  </si>
  <si>
    <t>English Housing Survey 2008</t>
  </si>
  <si>
    <t>Based on SAP Ratings</t>
  </si>
  <si>
    <t>Adjusted for TFA</t>
  </si>
  <si>
    <t>DWT</t>
  </si>
  <si>
    <t>DWTCOEF</t>
  </si>
  <si>
    <t>Pre-war</t>
  </si>
  <si>
    <t>1945-1990</t>
  </si>
  <si>
    <t>Post-1990</t>
  </si>
  <si>
    <t>DWELLING AGE</t>
  </si>
  <si>
    <t>DWA</t>
  </si>
  <si>
    <t>DWACOEF</t>
  </si>
  <si>
    <t>ENERGY-SAVING RETROFITS</t>
  </si>
  <si>
    <t>INS</t>
  </si>
  <si>
    <t>LOFT INSULATION</t>
  </si>
  <si>
    <t>Basic</t>
  </si>
  <si>
    <t>Extra thick</t>
  </si>
  <si>
    <t>INSCOEF</t>
  </si>
  <si>
    <t>DRAUGHT-PROOFING</t>
  </si>
  <si>
    <t>DP</t>
  </si>
  <si>
    <t>DPCOEF</t>
  </si>
  <si>
    <t>Very thorough</t>
  </si>
  <si>
    <t>CONT</t>
  </si>
  <si>
    <t>CONTCOEF</t>
  </si>
  <si>
    <t>These based on the principle that even basic work makes a difference</t>
  </si>
  <si>
    <t>Further additions do not generate proportionate savings</t>
  </si>
  <si>
    <t>They have to be thorough to double the initial savings</t>
  </si>
  <si>
    <t>Strictly, they are not independent, but are permitted to combine in this calculator</t>
  </si>
  <si>
    <t>The coefficients do not apply to post-1990 dwellings</t>
  </si>
  <si>
    <t>Passive House</t>
  </si>
  <si>
    <t>THERM</t>
  </si>
  <si>
    <t>Ignore</t>
  </si>
  <si>
    <t>HC</t>
  </si>
  <si>
    <t>Set and neglect</t>
  </si>
  <si>
    <t>Always use cleverly</t>
  </si>
  <si>
    <t>HCCOEF</t>
  </si>
  <si>
    <t>THERMCOEF</t>
  </si>
  <si>
    <t>HHSH</t>
  </si>
  <si>
    <t>SHPERCAP</t>
  </si>
  <si>
    <t>Final HH calculation</t>
  </si>
  <si>
    <t>Final personal calculation</t>
  </si>
  <si>
    <t>GOODS AND SERVICES</t>
  </si>
  <si>
    <t>G&amp;S</t>
  </si>
  <si>
    <t>INTRODUCTION</t>
  </si>
  <si>
    <t>looks about right, but then intensity value is wrong</t>
  </si>
  <si>
    <t>5.68/1150 a year =</t>
  </si>
  <si>
    <t>This is bec</t>
  </si>
  <si>
    <t>These adjusted up to allow for economic growth and inflation</t>
  </si>
  <si>
    <t xml:space="preserve">    -.0012x^2+0.3x+8.5</t>
  </si>
  <si>
    <t>Amended formulae</t>
  </si>
  <si>
    <t>Original formula</t>
  </si>
  <si>
    <t>y+0.025+1.8</t>
  </si>
  <si>
    <t>OVERVIEW</t>
  </si>
  <si>
    <t>TOP LEVEL STATISTICS</t>
  </si>
  <si>
    <t>UK GDP</t>
  </si>
  <si>
    <t>Quy</t>
  </si>
  <si>
    <t>Unit</t>
  </si>
  <si>
    <t>£B</t>
  </si>
  <si>
    <t>UK CONSUMPTION GHGE</t>
  </si>
  <si>
    <t>MtCO2e/y</t>
  </si>
  <si>
    <t>UK Population</t>
  </si>
  <si>
    <t>Million</t>
  </si>
  <si>
    <t>Average HH size</t>
  </si>
  <si>
    <t>Number of UK HH</t>
  </si>
  <si>
    <t>tCO2e/y</t>
  </si>
  <si>
    <t>Emissions/HH</t>
  </si>
  <si>
    <t>Emissions/head</t>
  </si>
  <si>
    <t>GDP =</t>
  </si>
  <si>
    <t>GOV</t>
  </si>
  <si>
    <t>INV</t>
  </si>
  <si>
    <t>EXP</t>
  </si>
  <si>
    <t>IMP</t>
  </si>
  <si>
    <t>(-24)</t>
  </si>
  <si>
    <t>BUSINESS</t>
  </si>
  <si>
    <t>Flying</t>
  </si>
  <si>
    <t>Public services and infrastructure</t>
  </si>
  <si>
    <t>Business Sector and Investment</t>
  </si>
  <si>
    <t>PUB</t>
  </si>
  <si>
    <t>BS</t>
  </si>
  <si>
    <t>SERV</t>
  </si>
  <si>
    <t>TRAV</t>
  </si>
  <si>
    <t>PEC</t>
  </si>
  <si>
    <t>GHGE/HEAD</t>
  </si>
  <si>
    <t>AND A BASIC STACKED BAR WITH THE STANDARD COLOURS ADOPTED</t>
  </si>
  <si>
    <t>COLOUR CODING:</t>
  </si>
  <si>
    <t>RED/YELLOW</t>
  </si>
  <si>
    <t>Direct emissions</t>
  </si>
  <si>
    <t>Indirect emissions</t>
  </si>
  <si>
    <t>Largely under HH control via purchasing and other choices</t>
  </si>
  <si>
    <t>GREEN/BLUE</t>
  </si>
  <si>
    <t>SPECTRAL COLOURS</t>
  </si>
  <si>
    <t>Largely outside direct HH control</t>
  </si>
  <si>
    <t>BUSINESS SECTOR</t>
  </si>
  <si>
    <t>BUSCO</t>
  </si>
  <si>
    <t>BUSVAL1</t>
  </si>
  <si>
    <t>after services</t>
  </si>
  <si>
    <t>y=0.05x + 0.6</t>
  </si>
  <si>
    <t>y=0.0517*x+0.5</t>
  </si>
  <si>
    <t>y=-0.000418*x^2+0.06*x+1.8</t>
  </si>
  <si>
    <t>y=-0.0003*x^2+0.04*x+0.5</t>
  </si>
  <si>
    <t>NB</t>
  </si>
  <si>
    <t>EMISSIONS DO NOT CHANGE IN EXACT PROPORTION TO THESE TWO FACTORS</t>
  </si>
  <si>
    <t>THERE ARE SPECIAL EQUATIONS FOR EACH CATEGORY OF EMISSIONS</t>
  </si>
  <si>
    <t>FOR GEEKS, THE EQUATIONS ARE ALL THIS SHEET</t>
  </si>
  <si>
    <t>CHECK TOTALS</t>
  </si>
  <si>
    <t>OCCSCORE FORMULA NORMALISED ON AVERAGE OF 2.3</t>
  </si>
  <si>
    <t>y= -0.0012*INCSCORE^1+0.4*INCSCORE+7</t>
  </si>
  <si>
    <t>Equation used.</t>
  </si>
  <si>
    <t>Bedr No</t>
  </si>
  <si>
    <t>Median Gross internal area</t>
  </si>
  <si>
    <t>y=34.6EXP(0.165*BRNO)</t>
  </si>
  <si>
    <t>BDRNO</t>
  </si>
  <si>
    <t>Number of rooms</t>
  </si>
  <si>
    <t>Internal Floor area, m^2</t>
  </si>
  <si>
    <t>Expected emissions, tCO2e/HH/y</t>
  </si>
  <si>
    <t>AVERAGE VALUES 1t/HH, 0.43t/person  per year</t>
  </si>
  <si>
    <t>WATER HEATING</t>
  </si>
  <si>
    <t>KITCHEN</t>
  </si>
  <si>
    <t>PERSONAL HYGIENE</t>
  </si>
  <si>
    <t>T/hh/Y</t>
  </si>
  <si>
    <t>t/person</t>
  </si>
  <si>
    <t>AVKITCH</t>
  </si>
  <si>
    <t>AVHYG</t>
  </si>
  <si>
    <t>SHOWNO</t>
  </si>
  <si>
    <t>Power shower</t>
  </si>
  <si>
    <t>Ordinary shower</t>
  </si>
  <si>
    <t>SHOWTYP</t>
  </si>
  <si>
    <t>SHOWMIN</t>
  </si>
  <si>
    <t>minutes</t>
  </si>
  <si>
    <t>POWERSH</t>
  </si>
  <si>
    <t>SOLAR</t>
  </si>
  <si>
    <t>SOLARW</t>
  </si>
  <si>
    <t>KITCH</t>
  </si>
  <si>
    <t>HYG</t>
  </si>
  <si>
    <t>SOL</t>
  </si>
  <si>
    <t>GENERAL ALGORITHM</t>
  </si>
  <si>
    <t>Default of 1 usually asssumes that modern average is better than unamended dwellings</t>
  </si>
  <si>
    <t>WHPERCAP</t>
  </si>
  <si>
    <t xml:space="preserve">HH AVERAGE </t>
  </si>
  <si>
    <t>PER CAP</t>
  </si>
  <si>
    <t>tCO2e/hh/y</t>
  </si>
  <si>
    <t>t/person/y</t>
  </si>
  <si>
    <t>Plasma screen</t>
  </si>
  <si>
    <t>TVKIND</t>
  </si>
  <si>
    <t>TV</t>
  </si>
  <si>
    <t>Tumble drier</t>
  </si>
  <si>
    <t>Washing line or rack</t>
  </si>
  <si>
    <t>DRY</t>
  </si>
  <si>
    <t>CLODRY</t>
  </si>
  <si>
    <t>AC</t>
  </si>
  <si>
    <t>MOBILE</t>
  </si>
  <si>
    <t>Always</t>
  </si>
  <si>
    <t>Sometimes</t>
  </si>
  <si>
    <t>OFF</t>
  </si>
  <si>
    <t>Best rating for all</t>
  </si>
  <si>
    <t>High rating for some</t>
  </si>
  <si>
    <t>Low or medium ratings</t>
  </si>
  <si>
    <t>EFF</t>
  </si>
  <si>
    <t>EFFVAL</t>
  </si>
  <si>
    <t>GEL</t>
  </si>
  <si>
    <t>GELVAL</t>
  </si>
  <si>
    <t>PV</t>
  </si>
  <si>
    <t>PVVAL</t>
  </si>
  <si>
    <t>APPERHH</t>
  </si>
  <si>
    <t>APPERCAP</t>
  </si>
  <si>
    <t>ADJUSTED FOR DWELLING SIZE</t>
  </si>
  <si>
    <t>APPSIZE</t>
  </si>
  <si>
    <t>2.58 is average</t>
  </si>
  <si>
    <t>(Result/2.3*EXP((0.25*SC)</t>
  </si>
  <si>
    <t>Generic average emissions per mile</t>
  </si>
  <si>
    <t>Other private transport1</t>
  </si>
  <si>
    <t>Rail2</t>
  </si>
  <si>
    <t>Other public transport3</t>
  </si>
  <si>
    <t>y = -0.0008x2 + 0.1569x + 0.4521</t>
  </si>
  <si>
    <t>SURFACE TRAVEL</t>
  </si>
  <si>
    <t>TRAFUEL2</t>
  </si>
  <si>
    <t>Average per cap values</t>
  </si>
  <si>
    <t>FLYING</t>
  </si>
  <si>
    <t>FLYEMPERCAP</t>
  </si>
  <si>
    <t>34Mt in 2010, /63</t>
  </si>
  <si>
    <t>*1.9/63</t>
  </si>
  <si>
    <t>Multiplier less 26% business flights</t>
  </si>
  <si>
    <t>Average is 0.76/person</t>
  </si>
  <si>
    <t>UK destinations</t>
  </si>
  <si>
    <t>UKO</t>
  </si>
  <si>
    <t>SURFPERCAP</t>
  </si>
  <si>
    <t>TRAVPERCAP</t>
  </si>
  <si>
    <t>FARMPROP</t>
  </si>
  <si>
    <t>Average %</t>
  </si>
  <si>
    <t>Check total</t>
  </si>
  <si>
    <t>FOODEM</t>
  </si>
  <si>
    <t>STEP 1</t>
  </si>
  <si>
    <t>ADJUST PERCENTAGES OF VARIOUS FOOD GROUPS SO THEY ADD TO 100.</t>
  </si>
  <si>
    <t xml:space="preserve">THE AVERAGE PERCENTAGES ARE SHOWN IN THE ADJACENT PINK COLUMN </t>
  </si>
  <si>
    <t xml:space="preserve">THE TOTAL MUST BE 100 </t>
  </si>
  <si>
    <t>STEP 2</t>
  </si>
  <si>
    <t>CHOOSE FROM THE FOLLOWING DROP-DOWN MENUS</t>
  </si>
  <si>
    <t>FARMPERCAP</t>
  </si>
  <si>
    <t>PROCPERCAP</t>
  </si>
  <si>
    <t>WASTEPERCAP</t>
  </si>
  <si>
    <t>FOODPERCAP</t>
  </si>
  <si>
    <t>11% for waste is deducted</t>
  </si>
  <si>
    <t>ONS Family spending data suggest a remarkable consistency of expenditure % on G&amp;S, of aroun 67%</t>
  </si>
  <si>
    <t>% of exp G&amp;S</t>
  </si>
  <si>
    <t>£/h/wk</t>
  </si>
  <si>
    <t>% of all exp</t>
  </si>
  <si>
    <t>kg/£</t>
  </si>
  <si>
    <t>GHGE/HH/Y</t>
  </si>
  <si>
    <t>Additional vehicle</t>
  </si>
  <si>
    <t>Clothes etc</t>
  </si>
  <si>
    <t>Furniture</t>
  </si>
  <si>
    <t>Alcohol</t>
  </si>
  <si>
    <t>Equipment for hobbies and leisure</t>
  </si>
  <si>
    <t>Eating out, pubs, hotels</t>
  </si>
  <si>
    <t>Additional package holidays</t>
  </si>
  <si>
    <t>Cultural and sport</t>
  </si>
  <si>
    <t>Donations</t>
  </si>
  <si>
    <t>Education</t>
  </si>
  <si>
    <t>Other services</t>
  </si>
  <si>
    <t>GOODSTOT</t>
  </si>
  <si>
    <t>SERVTOT</t>
  </si>
  <si>
    <t>GOODSPERCAP</t>
  </si>
  <si>
    <t>SERVPERCAP</t>
  </si>
  <si>
    <t>BSPERCAP</t>
  </si>
  <si>
    <t>ALLGANDSPERCAP</t>
  </si>
  <si>
    <t>=APPLIANCES!$C$19</t>
  </si>
  <si>
    <t>airc</t>
  </si>
  <si>
    <t>=APPLIANCES!$C$20</t>
  </si>
  <si>
    <t>=Goods!$L$34</t>
  </si>
  <si>
    <t>=APPLIANCES!$K$4</t>
  </si>
  <si>
    <t>=APPLIANCES!$I$4</t>
  </si>
  <si>
    <t>=APPLIANCES!$C$8</t>
  </si>
  <si>
    <t>='Dwelling size'!$E$5</t>
  </si>
  <si>
    <t>=FLYING!$G$18</t>
  </si>
  <si>
    <t>='Dwelling size'!$C$5</t>
  </si>
  <si>
    <t>AVEMFACTOR</t>
  </si>
  <si>
    <t>=TRAVEL!$B$28</t>
  </si>
  <si>
    <t>='2 QUESTIONS'!$P$7</t>
  </si>
  <si>
    <t>='WATER HEATING'!$G$5</t>
  </si>
  <si>
    <t>='WATER HEATING'!$G$4</t>
  </si>
  <si>
    <t>=TRAVEL!$J$8</t>
  </si>
  <si>
    <t>='Dwelling size'!$D$5</t>
  </si>
  <si>
    <t>='SPACE HEATING'!$C$5</t>
  </si>
  <si>
    <t>='2 QUESTIONS'!$J$41</t>
  </si>
  <si>
    <t>='2 QUESTIONS'!$M$41</t>
  </si>
  <si>
    <t>CCEM</t>
  </si>
  <si>
    <t>=TRAVEL!$J$16</t>
  </si>
  <si>
    <t>=Food!$D$39</t>
  </si>
  <si>
    <t>clodry</t>
  </si>
  <si>
    <t>=APPLIANCES!$C$16</t>
  </si>
  <si>
    <t>='SPACE HEATING'!$C$36</t>
  </si>
  <si>
    <t>='SPACE HEATING'!$C$37</t>
  </si>
  <si>
    <t>='SPACE HEATING'!$C$32</t>
  </si>
  <si>
    <t>='SPACE HEATING'!$C$33</t>
  </si>
  <si>
    <t>=APPLIANCES!$C$15</t>
  </si>
  <si>
    <t>='SPACE HEATING'!$C$23</t>
  </si>
  <si>
    <t>='SPACE HEATING'!$C$24</t>
  </si>
  <si>
    <t>='SPACE HEATING'!$C$15</t>
  </si>
  <si>
    <t>='SPACE HEATING'!$C$16</t>
  </si>
  <si>
    <t>=APPLIANCES!$C$30</t>
  </si>
  <si>
    <t>effval</t>
  </si>
  <si>
    <t>=APPLIANCES!$C$31</t>
  </si>
  <si>
    <t>=FLYING!#REF!</t>
  </si>
  <si>
    <t>=Food!$O$36</t>
  </si>
  <si>
    <t>=Food!$L$2</t>
  </si>
  <si>
    <t>=Food!$I$24</t>
  </si>
  <si>
    <t>=FLYING!$G$17</t>
  </si>
  <si>
    <t>=FLYING!$D$3</t>
  </si>
  <si>
    <t>=FLYING!$G$6</t>
  </si>
  <si>
    <t>='2 QUESTIONS'!$J$44</t>
  </si>
  <si>
    <t>=Food!$F$24</t>
  </si>
  <si>
    <t>=Food!$P$2</t>
  </si>
  <si>
    <t>='2 QUESTIONS'!$M$44</t>
  </si>
  <si>
    <t>=Food!$J$40</t>
  </si>
  <si>
    <t>=APPLIANCES!$C$34</t>
  </si>
  <si>
    <t>=APPLIANCES!$C$35</t>
  </si>
  <si>
    <t>='2 QUESTIONS'!$J$43</t>
  </si>
  <si>
    <t>=Goods!$K$19</t>
  </si>
  <si>
    <t>='2 QUESTIONS'!$M$43</t>
  </si>
  <si>
    <t>=Food!$D$40</t>
  </si>
  <si>
    <t>='SPACE HEATING'!$C$46</t>
  </si>
  <si>
    <t>='SPACE HEATING'!$C$47</t>
  </si>
  <si>
    <t>='2 QUESTIONS'!$J$46</t>
  </si>
  <si>
    <t>='2 QUESTIONS'!$M$46</t>
  </si>
  <si>
    <t>='SPACE HEATING'!$K$11</t>
  </si>
  <si>
    <t>=TRAVEL!$D$35</t>
  </si>
  <si>
    <t>='WATER HEATING'!$J$5</t>
  </si>
  <si>
    <t>='2 QUESTIONS'!$P$10</t>
  </si>
  <si>
    <t>='2 QUESTIONS'!$B$16</t>
  </si>
  <si>
    <t>='2 QUESTIONS'!$P$9</t>
  </si>
  <si>
    <t>='SPACE HEATING'!$C$28</t>
  </si>
  <si>
    <t>='SPACE HEATING'!$C$29</t>
  </si>
  <si>
    <t>='WATER HEATING'!$J$4</t>
  </si>
  <si>
    <t>=Food!$J$37</t>
  </si>
  <si>
    <t>LIFTEM</t>
  </si>
  <si>
    <t>=TRAVEL!$J$17</t>
  </si>
  <si>
    <t>=Food!$D$37</t>
  </si>
  <si>
    <t>MCC</t>
  </si>
  <si>
    <t>=TRAVEL!$I$16</t>
  </si>
  <si>
    <t>MCOEFF1</t>
  </si>
  <si>
    <t>=TRAVEL!$I$13</t>
  </si>
  <si>
    <t>MCOEFF2</t>
  </si>
  <si>
    <t>=TRAVEL!$I$14</t>
  </si>
  <si>
    <t>MCOEFF3</t>
  </si>
  <si>
    <t>=TRAVEL!$I$15</t>
  </si>
  <si>
    <t>=FLYING!$G$14</t>
  </si>
  <si>
    <t>MILES1</t>
  </si>
  <si>
    <t>=TRAVEL!$E$13</t>
  </si>
  <si>
    <t>MILES2</t>
  </si>
  <si>
    <t>=TRAVEL!$E$14</t>
  </si>
  <si>
    <t>MILES3</t>
  </si>
  <si>
    <t>=TRAVEL!$E$15</t>
  </si>
  <si>
    <t>MILESCC</t>
  </si>
  <si>
    <t>=TRAVEL!$E$16</t>
  </si>
  <si>
    <t>MILESLIFT</t>
  </si>
  <si>
    <t>=TRAVEL!$E$17</t>
  </si>
  <si>
    <t>MLIFT</t>
  </si>
  <si>
    <t>=TRAVEL!$I$17</t>
  </si>
  <si>
    <t>=APPLIANCES!$C$23</t>
  </si>
  <si>
    <t>=FLYING!$I$6</t>
  </si>
  <si>
    <t>=FLYING!$G$12</t>
  </si>
  <si>
    <t>='2 QUESTIONS'!$D$20</t>
  </si>
  <si>
    <t>='2 QUESTIONS'!$P$13</t>
  </si>
  <si>
    <t>=Food!$J$38</t>
  </si>
  <si>
    <t>=APPLIANCES!$C$26</t>
  </si>
  <si>
    <t>offval</t>
  </si>
  <si>
    <t>=APPLIANCES!$C$27</t>
  </si>
  <si>
    <t>=Food!$D$38</t>
  </si>
  <si>
    <t>=TRAVEL!$L$18</t>
  </si>
  <si>
    <t>='2 QUESTIONS'!$B$20</t>
  </si>
  <si>
    <t>='WATER HEATING'!$C$14</t>
  </si>
  <si>
    <t>=Food!$E$28</t>
  </si>
  <si>
    <t>=Food!$E$26</t>
  </si>
  <si>
    <t>=Food!$E$29</t>
  </si>
  <si>
    <t>=Food!$E$30</t>
  </si>
  <si>
    <t>=Food!$O$37</t>
  </si>
  <si>
    <t>=Food!$L$3</t>
  </si>
  <si>
    <t>='2 QUESTIONS'!$J$40</t>
  </si>
  <si>
    <t>=TRAVEL!$J$35</t>
  </si>
  <si>
    <t>=TRAVEL!$M$18</t>
  </si>
  <si>
    <t>='2 QUESTIONS'!$M$40</t>
  </si>
  <si>
    <t>=TRAVEL!$H$35</t>
  </si>
  <si>
    <t>=APPLIANCES!$C$38</t>
  </si>
  <si>
    <t>=APPLIANCES!$C$39</t>
  </si>
  <si>
    <t>=Food!$J$36</t>
  </si>
  <si>
    <t>=Food!$D$36</t>
  </si>
  <si>
    <t>='SPACE HEATING'!$C$6</t>
  </si>
  <si>
    <t>S1COEFF</t>
  </si>
  <si>
    <t>=TRAVEL!$G$13</t>
  </si>
  <si>
    <t>S2COEFF</t>
  </si>
  <si>
    <t>=TRAVEL!$G$14</t>
  </si>
  <si>
    <t>S3COEFF</t>
  </si>
  <si>
    <t>=TRAVEL!$G$15</t>
  </si>
  <si>
    <t>=FLYING!$G$16</t>
  </si>
  <si>
    <t>SCCCOEFF</t>
  </si>
  <si>
    <t>=TRAVEL!$G$16</t>
  </si>
  <si>
    <t>=FLYING!$G$13</t>
  </si>
  <si>
    <t>='2 QUESTIONS'!$J$42</t>
  </si>
  <si>
    <t>=Goods!$L$30</t>
  </si>
  <si>
    <t>=Goods!$K$30</t>
  </si>
  <si>
    <t>='2 QUESTIONS'!$M$42</t>
  </si>
  <si>
    <t>='WATER HEATING'!$C$17</t>
  </si>
  <si>
    <t>='WATER HEATING'!$C$10</t>
  </si>
  <si>
    <t>='WATER HEATING'!$C$13</t>
  </si>
  <si>
    <t>='SPACE HEATING'!$M$11</t>
  </si>
  <si>
    <t>SIZE1</t>
  </si>
  <si>
    <t>=TRAVEL!$C$13</t>
  </si>
  <si>
    <t>SIZE2</t>
  </si>
  <si>
    <t>=TRAVEL!$C$14</t>
  </si>
  <si>
    <t>SIZE3</t>
  </si>
  <si>
    <t>=TRAVEL!$C$15</t>
  </si>
  <si>
    <t>SIZECC</t>
  </si>
  <si>
    <t>=TRAVEL!$C$16</t>
  </si>
  <si>
    <t>SIZELIFT</t>
  </si>
  <si>
    <t>=TRAVEL!$C$17</t>
  </si>
  <si>
    <t>='SPACE HEATING'!$C$8</t>
  </si>
  <si>
    <t>SLIFTCOEFF</t>
  </si>
  <si>
    <t>=TRAVEL!$G$17</t>
  </si>
  <si>
    <t>='WATER HEATING'!$J$6</t>
  </si>
  <si>
    <t>='WATER HEATING'!$C$21</t>
  </si>
  <si>
    <t>SUM</t>
  </si>
  <si>
    <t>='2 QUESTIONS'!$M$47</t>
  </si>
  <si>
    <t>=TRAVEL!$F$3</t>
  </si>
  <si>
    <t>swh</t>
  </si>
  <si>
    <t>='WATER HEATING'!$C$20</t>
  </si>
  <si>
    <t>TCCCOEFF</t>
  </si>
  <si>
    <t>=TRAVEL!$H$16</t>
  </si>
  <si>
    <t>TCOEFF1</t>
  </si>
  <si>
    <t>=TRAVEL!$H$13</t>
  </si>
  <si>
    <t>TCOEFF2</t>
  </si>
  <si>
    <t>=TRAVEL!$H$14</t>
  </si>
  <si>
    <t>TCOEFF3</t>
  </si>
  <si>
    <t>=TRAVEL!$H$15</t>
  </si>
  <si>
    <t>='SPACE HEATING'!$C$7</t>
  </si>
  <si>
    <t>='SPACE HEATING'!$C$42</t>
  </si>
  <si>
    <t>='SPACE HEATING'!$C$43</t>
  </si>
  <si>
    <t>TLIFTCOEFF</t>
  </si>
  <si>
    <t>=TRAVEL!$H$17</t>
  </si>
  <si>
    <t>=TRAVEL!$K$18</t>
  </si>
  <si>
    <t>=TRAVEL!$F$35</t>
  </si>
  <si>
    <t>='2 QUESTIONS'!$J$45</t>
  </si>
  <si>
    <t>=TRAVEL!$L$3</t>
  </si>
  <si>
    <t>='2 QUESTIONS'!$M$45</t>
  </si>
  <si>
    <t>=APPLIANCES!$C$12</t>
  </si>
  <si>
    <t>=APPLIANCES!$C$11</t>
  </si>
  <si>
    <t>TYPE1</t>
  </si>
  <si>
    <t>=TRAVEL!$D$13</t>
  </si>
  <si>
    <t>TYPE2</t>
  </si>
  <si>
    <t>=TRAVEL!$D$14</t>
  </si>
  <si>
    <t>TYPE3</t>
  </si>
  <si>
    <t>=TRAVEL!$D$15</t>
  </si>
  <si>
    <t>TYPECC</t>
  </si>
  <si>
    <t>=TRAVEL!$D$16</t>
  </si>
  <si>
    <t>TYPELIFT</t>
  </si>
  <si>
    <t>=TRAVEL!$D$17</t>
  </si>
  <si>
    <t>=FLYING!$G$11</t>
  </si>
  <si>
    <t>=FLYING!$G$15</t>
  </si>
  <si>
    <t>V1EM</t>
  </si>
  <si>
    <t>=TRAVEL!$J$13</t>
  </si>
  <si>
    <t>V2EM</t>
  </si>
  <si>
    <t>=TRAVEL!$J$14</t>
  </si>
  <si>
    <t>V3EM</t>
  </si>
  <si>
    <t>=TRAVEL!$J$15</t>
  </si>
  <si>
    <t>=TRAVEL!$B$35</t>
  </si>
  <si>
    <t>=Food!$O$38</t>
  </si>
  <si>
    <t>=Food!$L$4</t>
  </si>
  <si>
    <t>=Food!$J$39</t>
  </si>
  <si>
    <t>='WATER HEATING'!$L$4</t>
  </si>
  <si>
    <t>Lots</t>
  </si>
  <si>
    <t>Some</t>
  </si>
  <si>
    <t>Too many</t>
  </si>
  <si>
    <t>How much is re-used or recycled?</t>
  </si>
  <si>
    <t>Expensive top quality</t>
  </si>
  <si>
    <t>Cheap as possible</t>
  </si>
  <si>
    <t>Never buy on credit</t>
  </si>
  <si>
    <t>Sometimes buy on credit</t>
  </si>
  <si>
    <t>Maxed out</t>
  </si>
  <si>
    <t>Always choose ethical brands and suppliers</t>
  </si>
  <si>
    <t>Don't care</t>
  </si>
  <si>
    <t>Everything possible</t>
  </si>
  <si>
    <t>MENU LISTS</t>
  </si>
  <si>
    <t>RECYC</t>
  </si>
  <si>
    <t>QUAL</t>
  </si>
  <si>
    <t>Bit of both</t>
  </si>
  <si>
    <t>CRED</t>
  </si>
  <si>
    <t>ETH</t>
  </si>
  <si>
    <t>Quality or economy?</t>
  </si>
  <si>
    <t>Living on credit</t>
  </si>
  <si>
    <t>Ethical shopping</t>
  </si>
  <si>
    <t>RECYC2</t>
  </si>
  <si>
    <t>RECYC3</t>
  </si>
  <si>
    <t>QUAL2</t>
  </si>
  <si>
    <t>QUAL3</t>
  </si>
  <si>
    <t>CRED2</t>
  </si>
  <si>
    <t>CRED3</t>
  </si>
  <si>
    <t>ETH_2</t>
  </si>
  <si>
    <t>ETH_3</t>
  </si>
  <si>
    <t>APPLIES TO</t>
  </si>
  <si>
    <t>Sometimes choose ethical brands</t>
  </si>
  <si>
    <t>AVERAGE 4.39</t>
  </si>
  <si>
    <t>This is rounded up to 70% to allow for missing items in the expenditure lists and generate expected average</t>
  </si>
  <si>
    <t>HEPERCAP</t>
  </si>
  <si>
    <t>Public services</t>
  </si>
  <si>
    <t>Variants</t>
  </si>
  <si>
    <t>OFFSET</t>
  </si>
  <si>
    <t>Negative Emissions</t>
  </si>
  <si>
    <t>NEGVAL</t>
  </si>
  <si>
    <t>Average = 3</t>
  </si>
  <si>
    <t>Y=4.25X^-0.15</t>
  </si>
  <si>
    <t>Average HH expenditure/y</t>
  </si>
  <si>
    <t>£</t>
  </si>
  <si>
    <t>BLACK</t>
  </si>
  <si>
    <t xml:space="preserve">HERE ARE THE "PRINCIPAL EMISSION CATEGORIES" </t>
  </si>
  <si>
    <t>AND THEIR AVERAGE OR DEFAULT PROPORTIONS</t>
  </si>
  <si>
    <t>ON THIS SHEET SUMMARIES OF CONTENTS</t>
  </si>
  <si>
    <t>A FEW VARIATIONS ON DISPLAYING THE DATA</t>
  </si>
  <si>
    <t>Typical chart of per cap emissions</t>
  </si>
  <si>
    <t>Major categories only</t>
  </si>
  <si>
    <t>Chart showing Goods and Services</t>
  </si>
  <si>
    <t>split into composnents</t>
  </si>
  <si>
    <t>including Business Sector</t>
  </si>
  <si>
    <t>Chart showing all measured subcategories</t>
  </si>
  <si>
    <t>Public Transport</t>
  </si>
  <si>
    <t>Veh Purchase and maint</t>
  </si>
  <si>
    <t>Food Processing</t>
  </si>
  <si>
    <t>ROUNDED FOR EASE OF USE BUT WITHIN RANGES FOR PUBLISHED DATA</t>
  </si>
  <si>
    <t>It's called 'TWO QUESTIONS'</t>
  </si>
  <si>
    <t>YOUR CHOICES</t>
  </si>
  <si>
    <t>Work your way through the choices (turquoise buttons) and you will see the bar for 'your choices' constantly change relative to the 'average' bar.</t>
  </si>
  <si>
    <t>NAMES AND VALUES USED THROUGHOUT THE CALCULATOR</t>
  </si>
  <si>
    <t xml:space="preserve">"PRINCIPAL EMISSION CATEGORIES" </t>
  </si>
  <si>
    <t>LISTS AND THEIR NAMES</t>
  </si>
  <si>
    <t>List</t>
  </si>
  <si>
    <t>Name</t>
  </si>
  <si>
    <t>YES</t>
  </si>
  <si>
    <t>INC</t>
  </si>
  <si>
    <t>DTYPE</t>
  </si>
  <si>
    <t>DAGE</t>
  </si>
  <si>
    <t>INSUL</t>
  </si>
  <si>
    <t>DRPRF</t>
  </si>
  <si>
    <t>TIM</t>
  </si>
  <si>
    <t>CONTROLS</t>
  </si>
  <si>
    <t>SHOWER</t>
  </si>
  <si>
    <t>TVSORT</t>
  </si>
  <si>
    <t>TUMBLE</t>
  </si>
  <si>
    <t>ALWAYS</t>
  </si>
  <si>
    <t>RATING</t>
  </si>
  <si>
    <t>CARSIZE</t>
  </si>
  <si>
    <t>CARTYPE</t>
  </si>
  <si>
    <t>CARMILES</t>
  </si>
  <si>
    <t>A 'car club' vehicle is used but not owned by members of the household</t>
  </si>
  <si>
    <t>CELL NAMES</t>
  </si>
  <si>
    <t xml:space="preserve">North west Europe </t>
  </si>
  <si>
    <t>FLYTOT</t>
  </si>
  <si>
    <t>CREATE A 'DESIGNED' DIET</t>
  </si>
  <si>
    <t>If you think you have a 'normal' diet, keep the proportions in the pink column</t>
  </si>
  <si>
    <t>FOODFR</t>
  </si>
  <si>
    <t>PURCHASE AND MAINTENANCE</t>
  </si>
  <si>
    <t>PUBLIC TRANSPORT</t>
  </si>
  <si>
    <t>RECYC1</t>
  </si>
  <si>
    <t>QUAL1</t>
  </si>
  <si>
    <t>CRED1</t>
  </si>
  <si>
    <t>ETH_1</t>
  </si>
  <si>
    <t>BSTOT</t>
  </si>
  <si>
    <t>This section is based on how you spend your money,</t>
  </si>
  <si>
    <t>apart from energy, travel, food and taxes</t>
  </si>
  <si>
    <t xml:space="preserve">You can keep these proportions if you like, </t>
  </si>
  <si>
    <t>or vary them by altering the numbers in the turquoise column</t>
  </si>
  <si>
    <t>The final total must come to 100% (or within 1%)</t>
  </si>
  <si>
    <t>There are two steps. The first is about what you buy.</t>
  </si>
  <si>
    <t>The second step asks more questions about consumer behaviour</t>
  </si>
  <si>
    <t>LIST OF NAMED CELLS AND LOCATIONS</t>
  </si>
  <si>
    <t>One is that you could invest in zero or negative-emission processes outside your home</t>
  </si>
  <si>
    <t>or properly-certified forestry projects</t>
  </si>
  <si>
    <t>They would cost you about £100 per tonne of CO2e saved</t>
  </si>
  <si>
    <t>Such investments could include renewable energy installations like wind farms</t>
  </si>
  <si>
    <t>Enter this as a percentage in the turquoise cell</t>
  </si>
  <si>
    <t>This can be deducted from your total footprint</t>
  </si>
  <si>
    <t>These two measures reduce the energy-related emissions to a very low level</t>
  </si>
  <si>
    <t>RED</t>
  </si>
  <si>
    <t>WHITE</t>
  </si>
  <si>
    <t>CMEAT</t>
  </si>
  <si>
    <t>MULT</t>
  </si>
  <si>
    <t>CMEAT2</t>
  </si>
  <si>
    <t>MULT2</t>
  </si>
  <si>
    <t xml:space="preserve">The succeeding tabs take you through the calculator step by step. </t>
  </si>
  <si>
    <t>package holidays moved from serv to goods</t>
  </si>
  <si>
    <t>However, you can simulate the effects of eating too much by havinga higher than 100% total</t>
  </si>
  <si>
    <t>Equally you can simulate a more frugal (but healthy) diet by using (say) 90% as a total</t>
  </si>
  <si>
    <t>1.86/</t>
  </si>
  <si>
    <t xml:space="preserve">This assumes that trading partners have not decarbonised to the same extent </t>
  </si>
  <si>
    <t>tonnes of CO2e per year</t>
  </si>
  <si>
    <t>Higher than present estimate</t>
  </si>
  <si>
    <t>Lower than present estimate</t>
  </si>
  <si>
    <t>No multiplier</t>
  </si>
  <si>
    <t>Keep present value</t>
  </si>
  <si>
    <t>AVMULTLIST</t>
  </si>
  <si>
    <t>Air-freighted and greenhouse vegetables</t>
  </si>
  <si>
    <t>Out-of season fruits</t>
  </si>
  <si>
    <t>Would this be enough to get you, personally to zero?</t>
  </si>
  <si>
    <t>It nets this off with about 0.7t/head/y of 'natural carbon sequestration'.</t>
  </si>
  <si>
    <t>How much extra carbon sequestration would you need?</t>
  </si>
  <si>
    <t>Two categories often stand out: FOOD and  FLYING</t>
  </si>
  <si>
    <t xml:space="preserve"> tonnesCO2e/year</t>
  </si>
  <si>
    <t>y=-0.0008*x^2+0.14*x+0.35</t>
  </si>
  <si>
    <t>Accept</t>
  </si>
  <si>
    <t>Don't accept</t>
  </si>
  <si>
    <t>ACCEPT</t>
  </si>
  <si>
    <t>ZCB2030 VALUE</t>
  </si>
  <si>
    <t>100Mt of overseas credits</t>
  </si>
  <si>
    <t>Current ZCB3 VALUE</t>
  </si>
  <si>
    <t>SEQU</t>
  </si>
  <si>
    <t>Current ZCB3 value</t>
  </si>
  <si>
    <t>ZCB2030 value</t>
  </si>
  <si>
    <t>No sequestration</t>
  </si>
  <si>
    <t>This is the most problematic, but potentially the largest, component of an individual footprint.</t>
  </si>
  <si>
    <t>As with the rest of the calculator, emissions depend largely on purchasing volume and choices.</t>
  </si>
  <si>
    <t xml:space="preserve">However, the calculator attributes a certain proportion of emissions to the manufacturing and supply systems, over which householders have limited control </t>
  </si>
  <si>
    <t>These are still part of the footprint, but are estimated and shown separately.</t>
  </si>
  <si>
    <t>We already know roughly how much</t>
  </si>
  <si>
    <t>In the later tabs the calculator displays the results in more detail, using different shades of the main colour codes</t>
  </si>
  <si>
    <t>Tabs beyond 'Summary' can be ignored for the time being.</t>
  </si>
  <si>
    <t>Good luck!</t>
  </si>
  <si>
    <t>Second Home</t>
  </si>
  <si>
    <t>House extension, home improvements</t>
  </si>
  <si>
    <t>New phones</t>
  </si>
  <si>
    <t>Rents, mortgage, insurance</t>
  </si>
  <si>
    <t>Typical saving</t>
  </si>
  <si>
    <t>Energy-saving home investments</t>
  </si>
  <si>
    <t xml:space="preserve"> 'Ethical' saving</t>
  </si>
  <si>
    <t>The pink column shows approximately average percent of 'goods and services' expenditure on each category</t>
  </si>
  <si>
    <t>Appliances and gadgets</t>
  </si>
  <si>
    <t>House maintenance, tools, materials</t>
  </si>
  <si>
    <t>Make choices from the drop-down menus</t>
  </si>
  <si>
    <t>REPORT YOUR SCORES BOTH WITH AND WITHOUT THIS OFFSET.</t>
  </si>
  <si>
    <t>ZERO-CARBON BRITAIN arrives at an irreducible minimum of 47MtCO2e/y or about 0.7 t/head. Not counting imports</t>
  </si>
  <si>
    <t xml:space="preserve">What would be the implications of accepting the UK's 'historical responsibility' for emissions in the past? </t>
  </si>
  <si>
    <t>HOUSE SIZE?</t>
  </si>
  <si>
    <t>DEFRA CARBONSMART</t>
  </si>
  <si>
    <t>NEED TO EXPLAIN DIET CATEGORIES BETTER</t>
  </si>
  <si>
    <t>HIGH LIVING</t>
  </si>
  <si>
    <t>HOLIDAY SPENDING, eating and drinking out, pubs, hotels</t>
  </si>
  <si>
    <t>STUFF</t>
  </si>
  <si>
    <t>BUILDING/HOUsING</t>
  </si>
  <si>
    <t>Home improvements, extensions, second home, house maintenance, equipment</t>
  </si>
  <si>
    <t>Rents and mortgages, culture and sport, education, all other private services</t>
  </si>
  <si>
    <t>SAVING/INVESTMTS</t>
  </si>
  <si>
    <t xml:space="preserve">ETHICAL/OFFSETS </t>
  </si>
  <si>
    <t>Furniture, appliances, phones, clothes, shoes, gadgets, equipment for hobbies and leisure, extra vehicles</t>
  </si>
  <si>
    <t>Conventional saving, ethical investments</t>
  </si>
  <si>
    <t>Energy-saving home investments, certified offsets</t>
  </si>
  <si>
    <t>SECOND-HAND GOODS WHERE APPROPRIATE</t>
  </si>
  <si>
    <t>TOP-QUALITY NEW GOODS WHERE APPROPRIATE</t>
  </si>
  <si>
    <t>RE-USE AND RECYCLING</t>
  </si>
  <si>
    <t>Occasionally</t>
  </si>
  <si>
    <t>Never</t>
  </si>
  <si>
    <t>Careful best practice</t>
  </si>
  <si>
    <t>A bt</t>
  </si>
  <si>
    <t>Always top quality</t>
  </si>
  <si>
    <t>Cheapest option</t>
  </si>
  <si>
    <t>The average size house has three bedrooms. Put different numbers in the box to see what difference they make.</t>
  </si>
  <si>
    <t xml:space="preserve">When you have finished experimenting with one button, put it back to its original setting before trying the others. </t>
  </si>
  <si>
    <t>When you have looked at all three, choose a combination</t>
  </si>
  <si>
    <t xml:space="preserve">It turns out that the amount of money a household spends is the biggest single influence on it carbon emissions.  </t>
  </si>
  <si>
    <t>Use the drop-down menu to pick an option.</t>
  </si>
  <si>
    <t>You will see that changing different buttons affects different parts of the fingerprint. Why do think this is?</t>
  </si>
  <si>
    <t>What sort of house?</t>
  </si>
  <si>
    <t>How old is the house?</t>
  </si>
  <si>
    <t>How much loft insulation is there?</t>
  </si>
  <si>
    <t>Most houses have a basic 100mm</t>
  </si>
  <si>
    <t>Usually, the newer the better</t>
  </si>
  <si>
    <t>How well is the building draught-proofed?</t>
  </si>
  <si>
    <t>Thermostat</t>
  </si>
  <si>
    <t>(((0.088*frequency*mins*power*52)*EXP(0.05*OCCNORM)+Kitchen emissions) – (Expected solar displacement of 250kg/PEOPLE).</t>
  </si>
  <si>
    <t>FOR MAIN TABLE</t>
  </si>
  <si>
    <t>Often</t>
  </si>
  <si>
    <t>Rarely</t>
  </si>
  <si>
    <t>BIKEM</t>
  </si>
  <si>
    <t>Carbon Smart. DEFRA new model:</t>
  </si>
  <si>
    <t>0.28 domestic</t>
  </si>
  <si>
    <t>0.16 short haul</t>
  </si>
  <si>
    <t>0.19 long haul</t>
  </si>
  <si>
    <t>NO ANIMAL PRODUCTS AT ALL</t>
  </si>
  <si>
    <t>NO MEAT BUT GENEROUS CONSUMPTION OF EGGS, DAIRY PRODUCTS AND FISH</t>
  </si>
  <si>
    <t>MODERATE AMOUNTS OF MEAT, FISH OR DAIRY PRODUCTS AT MOST MEALS</t>
  </si>
  <si>
    <t>SEAS</t>
  </si>
  <si>
    <t>GLUT</t>
  </si>
  <si>
    <t>OUT</t>
  </si>
  <si>
    <t>At this point household income is assumed to be average.</t>
  </si>
  <si>
    <t xml:space="preserve">Choose points on the matched pairs table to calculate the effect of behaviour </t>
  </si>
  <si>
    <t>BUY CHEAP, PLASTIC OR SHORT-LIFE GOODS</t>
  </si>
  <si>
    <t>x</t>
  </si>
  <si>
    <t xml:space="preserve">CAREFUL QUALITY BUYING, ITEMS DESIGNED TO LAST </t>
  </si>
  <si>
    <t>KEEPING THINGS MAINTAINED &amp; REPAIRED IF POSSIBLE</t>
  </si>
  <si>
    <t>COSMETIC HOUSE IMPROVEMENTS</t>
  </si>
  <si>
    <t>WEATHER PROOFING / ENERGY-SAVING HOME IMPROVEMENTS</t>
  </si>
  <si>
    <t>LIVING ON CREDIT</t>
  </si>
  <si>
    <t>LIVING WITHIN YOUR MEANS</t>
  </si>
  <si>
    <t>LITTLE OR NO RECYCLING</t>
  </si>
  <si>
    <t>REGULAR REUSE AND RECYCLING</t>
  </si>
  <si>
    <t>OWN A SECOND HOME</t>
  </si>
  <si>
    <t>SHARE YOUR HOUSE OR HAVE A LODGER</t>
  </si>
  <si>
    <t>AS MANY CARS AS PEOPLE IN HOUSEHOLD</t>
  </si>
  <si>
    <t>NO-CAR HOUSEHOLD</t>
  </si>
  <si>
    <t>NO BICYCLES IN REGULAR USE</t>
  </si>
  <si>
    <t>AS MANY BICYCLES IN USE AS PEOPLE IN HOUSEHOLD</t>
  </si>
  <si>
    <t>NEED TO OWN EVERYTHING YOU MIGHT REQUIRE</t>
  </si>
  <si>
    <t>HAPPY TO SHARE OR BORROW POSSESSIONS</t>
  </si>
  <si>
    <t>ONLY INVEST IF RETURNS ARE HIGH</t>
  </si>
  <si>
    <t>PREFER ENVIRONMENTAL OR LOW-CARBON OR ETHICAL INVESTMENTS</t>
  </si>
  <si>
    <t>I WANT TO MAXIMISE MY OWN WEALTH AND KEEP IT</t>
  </si>
  <si>
    <t>I USE USE MY WEALTH TOWARDS A BETTER WORLD</t>
  </si>
  <si>
    <t>FASHION IS IMPORTANT</t>
  </si>
  <si>
    <t>FASHION IS IRRELEVANT</t>
  </si>
  <si>
    <t>SPENDING ON MATERIAL POSSESSIONS</t>
  </si>
  <si>
    <t>SPENDING ON SERVICES, CLEANERS, GYM, LOTTERY</t>
  </si>
  <si>
    <t>DISCARD CLOTHES WORN ONLY A FEW TIMES IF I NOT HAPPY WITH THEM</t>
  </si>
  <si>
    <t>DON'T BUY CLOTHES UNLESS THEY WILL BE WORN MANY TIMES</t>
  </si>
  <si>
    <t>UNWANTED CLOTHES GO IN THE BIN</t>
  </si>
  <si>
    <t>UNWANTED CLOTHES PASSED ON,  OR TO A CHARITY SHOP</t>
  </si>
  <si>
    <t>SHOPPING IS THE BEST ENTERTAINMENT</t>
  </si>
  <si>
    <t>CONCERTS, THEATRE, LOCAL SPORTING EVENTS FOR ENTERTAINMENT</t>
  </si>
  <si>
    <t>BUY ENOUGH STUFF TO FILL THE HOUSE</t>
  </si>
  <si>
    <t>BUY HIGH VALUE COMPACT ITEMS: ART, HANDCRAFTS, JEWELRY</t>
  </si>
  <si>
    <t xml:space="preserve">MOBILE PHONE REPLACED EVERY YEAR </t>
  </si>
  <si>
    <t>MOBILE PHONE REPLACED IF IT BREAKS, OR AFTER 5 OR MORE YEARS, OR NOT AT ALL</t>
  </si>
  <si>
    <t xml:space="preserve">Throw away un-needed items </t>
  </si>
  <si>
    <t>Freecycle or Charity Shops</t>
  </si>
  <si>
    <t>Always buy new</t>
  </si>
  <si>
    <t>Second-hand or 'swapshop' goods</t>
  </si>
  <si>
    <t>Choose brands for style, economy</t>
  </si>
  <si>
    <t>Choose ethical brands</t>
  </si>
  <si>
    <t>No sorting or recycling household waste</t>
  </si>
  <si>
    <t>All waste sorted and recycled</t>
  </si>
  <si>
    <t>Cosmetic house improvements</t>
  </si>
  <si>
    <t>Second home</t>
  </si>
  <si>
    <t>Only one home</t>
  </si>
  <si>
    <t>FREQUENT REPLACEMENT,  FEW OR NO REPAIRS</t>
  </si>
  <si>
    <t>BUY CHEAP,  SHORT-LIFE GOODS</t>
  </si>
  <si>
    <t>Buy cheap, short-life goods</t>
  </si>
  <si>
    <t>Careful quality buying, items designed to last</t>
  </si>
  <si>
    <t>Keeping things repaired and maintained</t>
  </si>
  <si>
    <t>REP</t>
  </si>
  <si>
    <t>FREE</t>
  </si>
  <si>
    <t>SEC</t>
  </si>
  <si>
    <t>REC</t>
  </si>
  <si>
    <t>ES</t>
  </si>
  <si>
    <t>SHO</t>
  </si>
  <si>
    <t>INCEM FORMULA NORMALISED ON AVERAGE DI OF £25K</t>
  </si>
  <si>
    <t>CRAP</t>
  </si>
  <si>
    <t>GOO</t>
  </si>
  <si>
    <t>SER</t>
  </si>
  <si>
    <t>TRANSPORT</t>
  </si>
  <si>
    <t>NEGATIVE EMISSIONS</t>
  </si>
  <si>
    <t>AVPUB</t>
  </si>
  <si>
    <t>AVGS</t>
  </si>
  <si>
    <t>AVFO</t>
  </si>
  <si>
    <t>AVFL</t>
  </si>
  <si>
    <t>AVTR</t>
  </si>
  <si>
    <t>AVHE</t>
  </si>
  <si>
    <t>BUYING LOW-CARBON OFFSETS AT £100 PER NEGATIVE TONNE OF CO2E</t>
  </si>
  <si>
    <t>UK sequestration with reforestation 50Mt</t>
  </si>
  <si>
    <t>UK sequestration with extensive miscanthus 80Mt</t>
  </si>
  <si>
    <t>Overseas sequestration credits 150Mt</t>
  </si>
  <si>
    <t>SEQUCRED</t>
  </si>
  <si>
    <t>This does not reduce items whose emissions occur outside the UK.  The UK could institute carbon tariffs for imports , reducing embodied emissions up to 80%</t>
  </si>
  <si>
    <t>Because their emissions are partly due to non-energy effects</t>
  </si>
  <si>
    <t>You can consider other possibilities for the future with respect to these awkward items</t>
  </si>
  <si>
    <t>SPACE HEATING</t>
  </si>
  <si>
    <t>Notes</t>
  </si>
  <si>
    <t>The emissions here include those from purchase and maintenance of vehicles</t>
  </si>
  <si>
    <t xml:space="preserve"> 'Lifts' are journeys in vehicles driven by others outside the household</t>
  </si>
  <si>
    <t>A hybrid or electric vehicle has lower emissions per mle</t>
  </si>
  <si>
    <t>Average car mileage is about 9000 miles a year</t>
  </si>
  <si>
    <t>Some assumptions are made about occupancy and sharing</t>
  </si>
  <si>
    <t>The emissions calculations assume the standard DEFRA 'multiplier' of 1.9</t>
  </si>
  <si>
    <t>This allows for extra non-CO2 warming effects in the upper atmosphere</t>
  </si>
  <si>
    <t>This makes a difference if you already have a high-veg diet</t>
  </si>
  <si>
    <t>Most people eat more than they need</t>
  </si>
  <si>
    <t>These are emissions 'emboded' in providing the things you buy, apart from food and vehicles</t>
  </si>
  <si>
    <t>Most of the items are imported, and most of the emissions actually occur outside the UK</t>
  </si>
  <si>
    <t>….and an average household income. Income can make a big difference.</t>
  </si>
  <si>
    <t xml:space="preserve">You can do this straight away if you like: no need to wait for the UK to get its act together: invest in the low-carbon future and make it happen </t>
  </si>
  <si>
    <t>tCO21e/yr</t>
  </si>
  <si>
    <t>tCO2e/yr</t>
  </si>
  <si>
    <t>If you don't use cars at all, the calculator assumes you use more public transport!</t>
  </si>
  <si>
    <t>Summary of what Average is</t>
  </si>
  <si>
    <t>Not the median or typical this is actually higher than</t>
  </si>
  <si>
    <t>Extra tab</t>
  </si>
  <si>
    <t>How would it be different for Wales?</t>
  </si>
  <si>
    <t>STEM COMMENTS</t>
  </si>
  <si>
    <t>Lower income level</t>
  </si>
  <si>
    <t>Embolden the average case?</t>
  </si>
  <si>
    <t>Find typical</t>
  </si>
  <si>
    <t>Pre-1940, not pre-war</t>
  </si>
  <si>
    <t>References for choices</t>
  </si>
  <si>
    <t>"Timer and Thermostat"</t>
  </si>
  <si>
    <t>TRVs</t>
  </si>
  <si>
    <t>Think more "Advanced": Temperature Compensated</t>
  </si>
  <si>
    <t>Diff for different rooms?</t>
  </si>
  <si>
    <t>Controlled temperature for each room.</t>
  </si>
  <si>
    <t>Showers</t>
  </si>
  <si>
    <t>No of showers per week</t>
  </si>
  <si>
    <t>PVs</t>
  </si>
  <si>
    <t>Three options</t>
  </si>
  <si>
    <t>Large instllation</t>
  </si>
  <si>
    <t>What we assume people have</t>
  </si>
  <si>
    <t xml:space="preserve">Switching off </t>
  </si>
  <si>
    <t xml:space="preserve">Always </t>
  </si>
  <si>
    <t>Default public transport</t>
  </si>
  <si>
    <t>State that miles are the same</t>
  </si>
  <si>
    <t>Food</t>
  </si>
  <si>
    <t>Five columns, food and services</t>
  </si>
  <si>
    <t>Diss dairybmore than eggs</t>
  </si>
  <si>
    <t>make a differentiation</t>
  </si>
  <si>
    <t>Separate out recycling</t>
  </si>
  <si>
    <t>Rationalise the list</t>
  </si>
  <si>
    <t>I like to buy stuff</t>
  </si>
  <si>
    <t>I prefer to buy experiences</t>
  </si>
  <si>
    <t>No need for credit/savins questions</t>
  </si>
  <si>
    <t>(How can you have a fractional person? Easy: very often members of the household are away some of the time)</t>
  </si>
  <si>
    <t>Before 1945</t>
  </si>
  <si>
    <t>Timer and Thermostat</t>
  </si>
  <si>
    <t>Controls for individual rooms</t>
  </si>
  <si>
    <t>Controls for separate rooms</t>
  </si>
  <si>
    <t>Timer and thermostat</t>
  </si>
  <si>
    <t>Large installation</t>
  </si>
  <si>
    <t>times</t>
  </si>
  <si>
    <t>SWOFF</t>
  </si>
  <si>
    <t>Always turn off when not in use</t>
  </si>
  <si>
    <t>Sometimes turn off</t>
  </si>
  <si>
    <t>Never bother</t>
  </si>
  <si>
    <t>SWOFFVAL</t>
  </si>
  <si>
    <t>kg</t>
  </si>
  <si>
    <t>we assumed about 100kg could be saved or splurged , based on apparent EST data</t>
  </si>
  <si>
    <t>HAVE A SEPARATE BUTTON FOR PUBLIC TRANSPORT</t>
  </si>
  <si>
    <t>ADD NOTES FOR TEACHERS</t>
  </si>
  <si>
    <t>No sorting or recycling of household waste</t>
  </si>
  <si>
    <t>?</t>
  </si>
  <si>
    <t>But for the time being we'll assume these are all 'average'</t>
  </si>
  <si>
    <t>…has gas-fired central heating</t>
  </si>
  <si>
    <t>…is built after 1945, with basic levels of insulation, draughtproofing and heating controls</t>
  </si>
  <si>
    <t>…does not have solar heating or photovoltaic panels</t>
  </si>
  <si>
    <t>...has a full range of electrical appliances, of varying levels of efficiency</t>
  </si>
  <si>
    <t>The average household…</t>
  </si>
  <si>
    <t>…uses an electric tumble-drier to dry clothes</t>
  </si>
  <si>
    <t>…uses only a small proportion of its energy for cooking</t>
  </si>
  <si>
    <t>The average house…</t>
  </si>
  <si>
    <t>…has one medium-sized petrol-driven car that travels 9000 miles a year</t>
  </si>
  <si>
    <t>…spends its money equally on material goods and "services"</t>
  </si>
  <si>
    <t>The average person…</t>
  </si>
  <si>
    <t>…takes showers rather than baths</t>
  </si>
  <si>
    <t>…showers for eight minutes every day</t>
  </si>
  <si>
    <t>...consumes moderate amounts of meat, fish, dairy or eggs at most meals</t>
  </si>
  <si>
    <t>…eats a high proportion of prepared supermarket foods</t>
  </si>
  <si>
    <t>...takes one annual holiday flight to southern Europe</t>
  </si>
  <si>
    <t xml:space="preserve">…lives at 21 degrees C </t>
  </si>
  <si>
    <t>…tends to neglect its heating controls</t>
  </si>
  <si>
    <t>These are not particularly low-carbon choices. You can do much better. But you can also do much worse!</t>
  </si>
  <si>
    <t>Do you eat out?</t>
  </si>
  <si>
    <t>Do you eat more than you really need?</t>
  </si>
  <si>
    <t>VERY OCCASIONAL CONSUMPTION OF MEAT, FISH, EGGS OR DAIRY PRODUCTS</t>
  </si>
  <si>
    <t>NO MEAT BUT MODERATE REGULAR CONSUMPTION OF EGGS OR FISH</t>
  </si>
  <si>
    <t>NO MEAT BUT MODERATE REGULAR CONSUMPTION OF DAIRY PRODUCTS</t>
  </si>
  <si>
    <t xml:space="preserve">Suggested citation: Hill, N. et al (2011) The role of GHG emissions from infrastructure construction, vehicle </t>
  </si>
  <si>
    <t xml:space="preserve">manufacturing, and ELVs in overall transport sector emissions. Task 2 paper produced as part of a contract </t>
  </si>
  <si>
    <t xml:space="preserve">between European Commission Directorate-General Climate Action and AEA Technology plc; see website </t>
  </si>
  <si>
    <t>www.eutransportghg2050.eu</t>
  </si>
  <si>
    <t>Infrastructure emissions</t>
  </si>
  <si>
    <t xml:space="preserve">,IF CMEAT="No",IF(DIET="HIGH CONSUMPTION OF MEAT, MOSTLY BEEF AND LAMB",2000,IF(DIET="HIGH CONSUMPTION OF MEAT, MOSTLY PORK AND CHICKEN',1900,IF(DIET="MODERATE AMOUNTS OF MEAT, FISH OR DAIRY PRODUCTS AT MOST MEALS",1800))) </t>
  </si>
  <si>
    <t>NFOODEM</t>
  </si>
  <si>
    <t>HIGH CONSUMPTION OF MEAT, MOSTLY BEEF AND LAMB</t>
  </si>
  <si>
    <t>HIGH CONSUMPTION OF MEAT, MOSTLY PORK AND POULTRY MEAT</t>
  </si>
  <si>
    <t>Do you buy seasonal field-grown vegetables?</t>
  </si>
  <si>
    <t>Do you eat cakes, sweets, snacks</t>
  </si>
  <si>
    <t>CAKE</t>
  </si>
  <si>
    <t>SCO</t>
  </si>
  <si>
    <t>CCO</t>
  </si>
  <si>
    <t>GFAC</t>
  </si>
  <si>
    <t>UK salads in the winter are usually greenhouse-grown and very carbon-intensive</t>
  </si>
  <si>
    <t>Throughout the whole food chain about 20% is wasted. Much of this can be in the home.</t>
  </si>
  <si>
    <t>Eating out is usually more carbon-intensive than eating at home</t>
  </si>
  <si>
    <t>Buying plain ingredients and preparing yourself emits less than buying processed foods</t>
  </si>
  <si>
    <t>Replace often with new things</t>
  </si>
  <si>
    <t xml:space="preserve">Throw away unwanted but useful items </t>
  </si>
  <si>
    <t>Donate to Freecycle or Charity Shops</t>
  </si>
  <si>
    <t>Household waste sorted and recycled</t>
  </si>
  <si>
    <t>Stick with a usable phone</t>
  </si>
  <si>
    <t>Building extensions, second home, new kitchen</t>
  </si>
  <si>
    <t>Weatherproofing, energy-saving improvements</t>
  </si>
  <si>
    <t>Prefer to spend money on material items</t>
  </si>
  <si>
    <t>Prefer to spend money on activities, experiences</t>
  </si>
  <si>
    <t>Donate to good causes</t>
  </si>
  <si>
    <t>I need it all for my self and family</t>
  </si>
  <si>
    <t>CHA</t>
  </si>
  <si>
    <t>PHONE</t>
  </si>
  <si>
    <t>IGNORE THIS TAB</t>
  </si>
  <si>
    <t>PUBTRHOURS</t>
  </si>
  <si>
    <t>routine weekly travel (usually for work)</t>
  </si>
  <si>
    <t>longer occasional journeys (usually by train)</t>
  </si>
  <si>
    <t>How many hours per week do you typically travel by train, bus or tube?</t>
  </si>
  <si>
    <t>LONGHOURS</t>
  </si>
  <si>
    <t>How many hours per year do you spend on longer journeys by public transport?</t>
  </si>
  <si>
    <t>They  trim their emissions and get fitr into the bargain</t>
  </si>
  <si>
    <t xml:space="preserve">Households with bikes often use them for many short trips </t>
  </si>
  <si>
    <t>Car-free households tend to use public transport more</t>
  </si>
  <si>
    <t>High-income households often do a lot of long train journeys</t>
  </si>
  <si>
    <t>Dietary choices -- which foods to eat -- have the biggest effect on food-related emissions</t>
  </si>
  <si>
    <t>TRA</t>
  </si>
  <si>
    <t>FLY</t>
  </si>
  <si>
    <t>PS</t>
  </si>
  <si>
    <t>NE</t>
  </si>
  <si>
    <t>The choices you made generate a personal carbon footprint of…</t>
  </si>
  <si>
    <t>compared to</t>
  </si>
  <si>
    <t>the average UK carbon footprint…</t>
  </si>
  <si>
    <t>F</t>
  </si>
  <si>
    <t>Your elephant is your Personal Carbon Footprint, measured in tonnes per year, and will be compared to the footprint of the statistically average UK resident.</t>
  </si>
  <si>
    <t>Your elephant is made up of seven colour-coded main classes as follows:</t>
  </si>
  <si>
    <t>House Energy</t>
  </si>
  <si>
    <t>Transport</t>
  </si>
  <si>
    <t>Goods and Services</t>
  </si>
  <si>
    <t>Public Services</t>
  </si>
  <si>
    <t>As you work through the calculator, results are summarised in the form of stacked bar charts such as the one on the left.</t>
  </si>
  <si>
    <t>The average proportions are actually like those shown on the right of the bar chart just there. This is always used as the yardstick to compare other choices you might make.</t>
  </si>
  <si>
    <t>Progress through the calculator using these tabs.</t>
  </si>
  <si>
    <t>There are however, still opportunities for reducing emissions… move on to Next Steps</t>
  </si>
  <si>
    <t>AVERAGE…</t>
  </si>
  <si>
    <t>Some more averages:</t>
  </si>
  <si>
    <r>
      <t xml:space="preserve">Average </t>
    </r>
    <r>
      <rPr>
        <i/>
        <sz val="12"/>
        <color theme="1"/>
        <rFont val="Calibri"/>
        <family val="2"/>
        <scheme val="minor"/>
      </rPr>
      <t>household spending</t>
    </r>
    <r>
      <rPr>
        <sz val="12"/>
        <color theme="1"/>
        <rFont val="Calibri"/>
        <family val="2"/>
        <scheme val="minor"/>
      </rPr>
      <t xml:space="preserve"> of </t>
    </r>
    <r>
      <rPr>
        <b/>
        <sz val="12"/>
        <color theme="1"/>
        <rFont val="Calibri"/>
        <family val="2"/>
        <scheme val="minor"/>
      </rPr>
      <t>£25,000</t>
    </r>
    <r>
      <rPr>
        <sz val="12"/>
        <color theme="1"/>
        <rFont val="Calibri"/>
        <family val="2"/>
        <scheme val="minor"/>
      </rPr>
      <t xml:space="preserve"> a year</t>
    </r>
  </si>
  <si>
    <r>
      <t xml:space="preserve">Average </t>
    </r>
    <r>
      <rPr>
        <i/>
        <sz val="12"/>
        <color theme="1"/>
        <rFont val="Calibri"/>
        <family val="2"/>
        <scheme val="minor"/>
      </rPr>
      <t>number of people</t>
    </r>
    <r>
      <rPr>
        <sz val="12"/>
        <color theme="1"/>
        <rFont val="Calibri"/>
        <family val="2"/>
        <scheme val="minor"/>
      </rPr>
      <t xml:space="preserve"> in the household sharing the spending of </t>
    </r>
    <r>
      <rPr>
        <b/>
        <sz val="12"/>
        <color theme="1"/>
        <rFont val="Calibri"/>
        <family val="2"/>
        <scheme val="minor"/>
      </rPr>
      <t>2.3</t>
    </r>
  </si>
  <si>
    <r>
      <t xml:space="preserve">Average </t>
    </r>
    <r>
      <rPr>
        <i/>
        <sz val="12"/>
        <color theme="1"/>
        <rFont val="Calibri"/>
        <family val="2"/>
        <scheme val="minor"/>
      </rPr>
      <t xml:space="preserve">number of bedrooms </t>
    </r>
    <r>
      <rPr>
        <sz val="12"/>
        <color theme="1"/>
        <rFont val="Calibri"/>
        <family val="2"/>
        <scheme val="minor"/>
      </rPr>
      <t xml:space="preserve">is </t>
    </r>
    <r>
      <rPr>
        <b/>
        <sz val="12"/>
        <color theme="1"/>
        <rFont val="Calibri"/>
        <family val="2"/>
        <scheme val="minor"/>
      </rPr>
      <t>3 bedrooms</t>
    </r>
    <r>
      <rPr>
        <sz val="12"/>
        <color theme="1"/>
        <rFont val="Calibri"/>
        <family val="2"/>
        <scheme val="minor"/>
      </rPr>
      <t xml:space="preserve">, and floor area </t>
    </r>
    <r>
      <rPr>
        <b/>
        <sz val="12"/>
        <color theme="1"/>
        <rFont val="Calibri"/>
        <family val="2"/>
        <scheme val="minor"/>
      </rPr>
      <t>90 square metres</t>
    </r>
  </si>
  <si>
    <r>
      <t xml:space="preserve">The calculator starts by assuming you are </t>
    </r>
    <r>
      <rPr>
        <i/>
        <sz val="12"/>
        <color theme="1"/>
        <rFont val="Calibri"/>
        <family val="2"/>
        <scheme val="minor"/>
      </rPr>
      <t xml:space="preserve">close to the UK average </t>
    </r>
    <r>
      <rPr>
        <sz val="12"/>
        <color theme="1"/>
        <rFont val="Calibri"/>
        <family val="2"/>
        <scheme val="minor"/>
      </rPr>
      <t>in all aspects of your footprint.</t>
    </r>
  </si>
  <si>
    <r>
      <t xml:space="preserve">As you work through the calculator, you can see </t>
    </r>
    <r>
      <rPr>
        <i/>
        <sz val="12"/>
        <color theme="1"/>
        <rFont val="Calibri"/>
        <family val="2"/>
        <scheme val="minor"/>
      </rPr>
      <t xml:space="preserve">how your choices compare </t>
    </r>
    <r>
      <rPr>
        <sz val="12"/>
        <color theme="1"/>
        <rFont val="Calibri"/>
        <family val="2"/>
        <scheme val="minor"/>
      </rPr>
      <t>with the average.</t>
    </r>
  </si>
  <si>
    <t>Although there are many choices to make, at the beginning we assume you are 'average' in the following ways:</t>
  </si>
  <si>
    <t>…has a standard rather than "Green" tariff for buying electricity</t>
  </si>
  <si>
    <t>(cooker, microwave, electric kettle, washing machine, tumble drier, dishwasher, vacuum cleaner, fridge-freezer, 2 TVs, DVD player, 2 mobiles)</t>
  </si>
  <si>
    <r>
      <t xml:space="preserve">What </t>
    </r>
    <r>
      <rPr>
        <i/>
        <sz val="14"/>
        <color theme="1"/>
        <rFont val="Calibri"/>
        <family val="2"/>
        <scheme val="minor"/>
      </rPr>
      <t>is</t>
    </r>
    <r>
      <rPr>
        <sz val="14"/>
        <color theme="1"/>
        <rFont val="Calibri"/>
        <family val="2"/>
        <scheme val="minor"/>
      </rPr>
      <t xml:space="preserve"> 'average'?</t>
    </r>
  </si>
  <si>
    <t>"Standard" is 21, 24 is hot, 18 is cool, 16 is common in Japan</t>
  </si>
  <si>
    <t>A 'Passivhaus' is a specialised low-energy house</t>
  </si>
  <si>
    <t>How is the heating system controlled?</t>
  </si>
  <si>
    <t>At what temperature is your thermostat?</t>
  </si>
  <si>
    <t>How well do you manage heating controls?</t>
  </si>
  <si>
    <t>What sort of shower do you have?</t>
  </si>
  <si>
    <t>How many minutes do you spend in the shower?</t>
  </si>
  <si>
    <t>Average is 8 minutes every day…</t>
  </si>
  <si>
    <t>Is there solar water heating?</t>
  </si>
  <si>
    <t>How many times per week do you shower?</t>
  </si>
  <si>
    <t>Most people shower once a day, so 7 times a week</t>
  </si>
  <si>
    <t>Most have regular electric showers</t>
  </si>
  <si>
    <t>Most don't</t>
  </si>
  <si>
    <t>Doors, windows and vents…</t>
  </si>
  <si>
    <t>APPLIANCES</t>
  </si>
  <si>
    <t>How do you dry your clothes?</t>
  </si>
  <si>
    <t>Are you on a Green Electricity tariff?</t>
  </si>
  <si>
    <t>Does your house have any Photovoltaic (solar) panels?</t>
  </si>
  <si>
    <t>Do you consider efficiency ratings?</t>
  </si>
  <si>
    <t>Do you turn things off when not in use?</t>
  </si>
  <si>
    <t>This includes all personal transport except flying, for all purposes including commuting and holidays.</t>
  </si>
  <si>
    <t>The calculator allows for up to three household vehicle.</t>
  </si>
  <si>
    <t>Fill in the table to best fit you, using the drop down menus.</t>
  </si>
  <si>
    <t>Household Vehicle 1</t>
  </si>
  <si>
    <t>Household Vehicle 2</t>
  </si>
  <si>
    <t>Household Vehicle 3</t>
  </si>
  <si>
    <t>At the end you will get a chance to vary these if you want, see what difference they make.</t>
  </si>
  <si>
    <t>Frequency</t>
  </si>
  <si>
    <t>If you don't know, you probably aren't</t>
  </si>
  <si>
    <t>For appliances (A,B,C…)</t>
  </si>
  <si>
    <t>There are government grants to help with set-up costs</t>
  </si>
  <si>
    <t>How often do you cycle for trips under 5 miles?</t>
  </si>
  <si>
    <t>hours</t>
  </si>
  <si>
    <t>Cakes and sugary items tend to have a high carbon intensity</t>
  </si>
  <si>
    <t>Upgrade to the latest phone</t>
  </si>
  <si>
    <t>Always look first for second-hand goods</t>
  </si>
  <si>
    <t>If you think average is about right, leave the middle column blank</t>
  </si>
  <si>
    <t>Put an X near the position which best describes your spending habits</t>
  </si>
  <si>
    <t>Choose the diet which most closely describes your own</t>
  </si>
  <si>
    <t>Select your answer from the drop-down menu</t>
  </si>
  <si>
    <t>FLYING!</t>
  </si>
  <si>
    <t>GOOD &amp; SERVICES</t>
  </si>
  <si>
    <t>NEXT STEPS 1</t>
  </si>
  <si>
    <t>NEXT STEPS 2</t>
  </si>
  <si>
    <t>Further actions to reduce (or increase!) the size of your elephant</t>
  </si>
  <si>
    <t>bedrooms</t>
  </si>
  <si>
    <t>percent</t>
  </si>
  <si>
    <t>How many bedrooms are in your house?</t>
  </si>
  <si>
    <t>How many people live in your house?</t>
  </si>
  <si>
    <t>Roughly what is your total household income?</t>
  </si>
  <si>
    <t>(average 9000)</t>
  </si>
  <si>
    <r>
      <t xml:space="preserve">Welcome to the Face Your Elephant </t>
    </r>
    <r>
      <rPr>
        <b/>
        <sz val="14"/>
        <rFont val="Calibri"/>
        <family val="2"/>
        <scheme val="minor"/>
      </rPr>
      <t>Carbon Calculator!</t>
    </r>
  </si>
  <si>
    <r>
      <t xml:space="preserve">This calculator can be used to estimate your own </t>
    </r>
    <r>
      <rPr>
        <i/>
        <sz val="11"/>
        <rFont val="Calibri"/>
        <family val="2"/>
        <scheme val="minor"/>
      </rPr>
      <t xml:space="preserve">personal greenhouse gas (GHG) </t>
    </r>
    <r>
      <rPr>
        <sz val="11"/>
        <rFont val="Calibri"/>
        <family val="2"/>
        <scheme val="minor"/>
      </rPr>
      <t>emissions. Test the effects of various changes to your lifestyle or the wider world.</t>
    </r>
  </si>
  <si>
    <r>
      <rPr>
        <sz val="11"/>
        <color theme="1"/>
        <rFont val="Calibri"/>
        <family val="2"/>
        <scheme val="minor"/>
      </rPr>
      <t>Basic</t>
    </r>
    <r>
      <rPr>
        <i/>
        <sz val="11"/>
        <color theme="1"/>
        <rFont val="Calibri"/>
        <family val="2"/>
        <scheme val="minor"/>
      </rPr>
      <t xml:space="preserve"> is just dials on the boiler, most houses have a thermostat</t>
    </r>
  </si>
  <si>
    <r>
      <t xml:space="preserve">But food-related </t>
    </r>
    <r>
      <rPr>
        <i/>
        <sz val="11"/>
        <color theme="1"/>
        <rFont val="Calibri"/>
        <family val="2"/>
        <scheme val="minor"/>
      </rPr>
      <t>behaviours</t>
    </r>
    <r>
      <rPr>
        <sz val="11"/>
        <color theme="1"/>
        <rFont val="Calibri"/>
        <family val="2"/>
        <scheme val="minor"/>
      </rPr>
      <t xml:space="preserve"> can also have a large effect</t>
    </r>
  </si>
  <si>
    <r>
      <t xml:space="preserve">Emissions are determined by </t>
    </r>
    <r>
      <rPr>
        <sz val="11"/>
        <color theme="1"/>
        <rFont val="Calibri"/>
        <family val="2"/>
        <scheme val="minor"/>
      </rPr>
      <t>how much</t>
    </r>
    <r>
      <rPr>
        <i/>
        <sz val="11"/>
        <color theme="1"/>
        <rFont val="Calibri"/>
        <family val="2"/>
        <scheme val="minor"/>
      </rPr>
      <t xml:space="preserve"> you spend, and </t>
    </r>
    <r>
      <rPr>
        <sz val="11"/>
        <color theme="1"/>
        <rFont val="Calibri"/>
        <family val="2"/>
        <scheme val="minor"/>
      </rPr>
      <t>how</t>
    </r>
    <r>
      <rPr>
        <i/>
        <sz val="11"/>
        <color theme="1"/>
        <rFont val="Calibri"/>
        <family val="2"/>
        <scheme val="minor"/>
      </rPr>
      <t xml:space="preserve"> you spend it</t>
    </r>
  </si>
  <si>
    <r>
      <t xml:space="preserve">You have to decide what proportion of your expenditure will be spent </t>
    </r>
    <r>
      <rPr>
        <i/>
        <sz val="11"/>
        <color indexed="8"/>
        <rFont val="Calibri"/>
        <family val="2"/>
        <scheme val="minor"/>
      </rPr>
      <t>every year</t>
    </r>
    <r>
      <rPr>
        <sz val="11"/>
        <color theme="1"/>
        <rFont val="Calibri"/>
        <family val="2"/>
        <scheme val="minor"/>
      </rPr>
      <t xml:space="preserve"> on such projects</t>
    </r>
  </si>
  <si>
    <r>
      <t xml:space="preserve">You will now notice a </t>
    </r>
    <r>
      <rPr>
        <i/>
        <sz val="11"/>
        <color indexed="8"/>
        <rFont val="Calibri"/>
        <family val="2"/>
        <scheme val="minor"/>
      </rPr>
      <t>negative</t>
    </r>
    <r>
      <rPr>
        <sz val="11"/>
        <color theme="1"/>
        <rFont val="Calibri"/>
        <family val="2"/>
        <scheme val="minor"/>
      </rPr>
      <t xml:space="preserve"> segment appearing to the left of your 'choices bar'.</t>
    </r>
  </si>
  <si>
    <t>What if these factors are higher or lower than the average? What difference does it make?#</t>
  </si>
  <si>
    <t>The results you have obtained are based on the assumption of an average sized house, with an average number of people</t>
  </si>
  <si>
    <t>So far the calculator has assumed the average annual expenditure of £24,000.  What difference does it make?</t>
  </si>
  <si>
    <t>Most houses have 2 or 3 people, the average being 2.3. Of course only whole numbers of people can live in a house, but some might not be there all the time (for example students away half the year)</t>
  </si>
  <si>
    <t>So you can have fractional numbers here, but for purposes of the exercise it is probably best to stick to whole numbers.</t>
  </si>
  <si>
    <r>
      <t>Another possibility is that the UK might gradually reduce the carbon intensity of its energy system along the lines of</t>
    </r>
    <r>
      <rPr>
        <i/>
        <sz val="11"/>
        <color indexed="8"/>
        <rFont val="Calibri"/>
        <family val="2"/>
        <scheme val="minor"/>
      </rPr>
      <t xml:space="preserve"> ZeroCarbonBritain</t>
    </r>
  </si>
  <si>
    <r>
      <t>y = 15.9e</t>
    </r>
    <r>
      <rPr>
        <vertAlign val="superscript"/>
        <sz val="10"/>
        <color indexed="8"/>
        <rFont val="Calibri"/>
        <family val="2"/>
        <scheme val="minor"/>
      </rPr>
      <t>0.085*x</t>
    </r>
  </si>
  <si>
    <r>
      <t>y = 3.7795x</t>
    </r>
    <r>
      <rPr>
        <vertAlign val="superscript"/>
        <sz val="10"/>
        <color indexed="8"/>
        <rFont val="Calibri"/>
        <family val="2"/>
        <scheme val="minor"/>
      </rPr>
      <t>-0.184</t>
    </r>
  </si>
  <si>
    <r>
      <t>y = -0.000704x</t>
    </r>
    <r>
      <rPr>
        <vertAlign val="superscript"/>
        <sz val="10"/>
        <color indexed="8"/>
        <rFont val="Calibri"/>
        <family val="2"/>
        <scheme val="minor"/>
      </rPr>
      <t>2</t>
    </r>
    <r>
      <rPr>
        <sz val="10"/>
        <color indexed="8"/>
        <rFont val="Calibri"/>
        <family val="2"/>
        <scheme val="minor"/>
      </rPr>
      <t xml:space="preserve"> + 0.119931x + 0.524169</t>
    </r>
  </si>
  <si>
    <r>
      <t>y = -0.000418x</t>
    </r>
    <r>
      <rPr>
        <vertAlign val="superscript"/>
        <sz val="10"/>
        <color indexed="8"/>
        <rFont val="Calibri"/>
        <family val="2"/>
        <scheme val="minor"/>
      </rPr>
      <t>2</t>
    </r>
    <r>
      <rPr>
        <sz val="10"/>
        <color indexed="8"/>
        <rFont val="Calibri"/>
        <family val="2"/>
        <scheme val="minor"/>
      </rPr>
      <t xml:space="preserve"> + 0.059695x + 1.846549</t>
    </r>
  </si>
  <si>
    <r>
      <t>y = -0.0008x</t>
    </r>
    <r>
      <rPr>
        <vertAlign val="superscript"/>
        <sz val="10"/>
        <color indexed="8"/>
        <rFont val="Calibri"/>
        <family val="2"/>
        <scheme val="minor"/>
      </rPr>
      <t>2</t>
    </r>
    <r>
      <rPr>
        <sz val="10"/>
        <color indexed="8"/>
        <rFont val="Calibri"/>
        <family val="2"/>
        <scheme val="minor"/>
      </rPr>
      <t xml:space="preserve"> + 0.1569x + 0.4521</t>
    </r>
  </si>
  <si>
    <t>Enter a percentage value for the level of decarbonisation of the energy system, up to 90%.</t>
  </si>
  <si>
    <t>STILL NOT LOW ENOUGH? MAKE SOME ASSUMPTIONS ABOUT POSSIBLE LAND-BASED SEQUESTRATION (UK only)</t>
  </si>
  <si>
    <t>Enter a percentage of your household income you would be prepared to spend on negative carbon credits at £100 a tonne</t>
  </si>
  <si>
    <t>Cultured (Test-Tube) meat and dairy substitutes 80% of livestock products</t>
  </si>
  <si>
    <t>YOUR ELEPHANT</t>
  </si>
  <si>
    <t>Most realistic choices are in the middle three columns, but you can explore the effects of extreme options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</si>
</sst>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gt;0.5]#,##0;[&lt;-0.5]\-#,##0;\-"/>
    <numFmt numFmtId="166" formatCode="0.000"/>
    <numFmt numFmtId="167" formatCode="#,##0_ ;[Red]\-#,##0\ "/>
  </numFmts>
  <fonts count="70" x14ac:knownFonts="1">
    <font>
      <sz val="11"/>
      <color theme="1"/>
      <name val="Calibri"/>
      <family val="2"/>
      <scheme val="minor"/>
    </font>
    <font>
      <sz val="9"/>
      <color indexed="81"/>
      <name val="Tahoma"/>
      <family val="2"/>
    </font>
    <font>
      <b/>
      <sz val="9"/>
      <color indexed="81"/>
      <name val="Tahoma"/>
      <family val="2"/>
    </font>
    <font>
      <sz val="10"/>
      <color indexed="8"/>
      <name val="Calibri"/>
      <family val="2"/>
    </font>
    <font>
      <vertAlign val="superscript"/>
      <sz val="10"/>
      <color indexed="8"/>
      <name val="Calibri"/>
      <family val="2"/>
    </font>
    <font>
      <i/>
      <sz val="11"/>
      <color indexed="8"/>
      <name val="Calibri"/>
      <family val="2"/>
    </font>
    <font>
      <sz val="10"/>
      <name val="Arial"/>
      <family val="2"/>
    </font>
    <font>
      <b/>
      <sz val="10"/>
      <name val="Arial"/>
      <family val="2"/>
    </font>
    <font>
      <sz val="10"/>
      <name val="Times New Roman"/>
      <family val="1"/>
    </font>
    <font>
      <sz val="11"/>
      <color theme="1"/>
      <name val="Calibri"/>
      <family val="2"/>
      <scheme val="minor"/>
    </font>
    <font>
      <u/>
      <sz val="11"/>
      <color theme="10"/>
      <name val="Calibri"/>
      <family val="2"/>
      <scheme val="minor"/>
    </font>
    <font>
      <b/>
      <sz val="11"/>
      <color theme="1"/>
      <name val="Calibri"/>
      <family val="2"/>
      <scheme val="minor"/>
    </font>
    <font>
      <sz val="10"/>
      <color rgb="FF000000"/>
      <name val="Calibri"/>
      <family val="2"/>
      <scheme val="minor"/>
    </font>
    <font>
      <sz val="12"/>
      <color theme="1"/>
      <name val="Times New Roman"/>
      <family val="1"/>
    </font>
    <font>
      <sz val="14"/>
      <color theme="1"/>
      <name val="Calibri"/>
      <family val="2"/>
      <scheme val="minor"/>
    </font>
    <font>
      <b/>
      <u/>
      <sz val="16"/>
      <color theme="1"/>
      <name val="Calibri"/>
      <family val="2"/>
      <scheme val="minor"/>
    </font>
    <font>
      <sz val="11"/>
      <color rgb="FF000000"/>
      <name val="Calibri"/>
      <family val="2"/>
      <scheme val="minor"/>
    </font>
    <font>
      <sz val="16"/>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i/>
      <sz val="10"/>
      <color theme="1"/>
      <name val="Calibri"/>
      <family val="2"/>
      <scheme val="minor"/>
    </font>
    <font>
      <sz val="16"/>
      <color rgb="FF009900"/>
      <name val="Calibri"/>
      <family val="2"/>
      <scheme val="minor"/>
    </font>
    <font>
      <sz val="18"/>
      <color rgb="FF009900"/>
      <name val="Calibri"/>
      <family val="2"/>
      <scheme val="minor"/>
    </font>
    <font>
      <sz val="12"/>
      <color theme="1"/>
      <name val="Calibri"/>
      <family val="2"/>
      <scheme val="minor"/>
    </font>
    <font>
      <b/>
      <i/>
      <sz val="12"/>
      <color theme="1"/>
      <name val="Calibri"/>
      <family val="2"/>
      <scheme val="minor"/>
    </font>
    <font>
      <sz val="14"/>
      <color rgb="FF009900"/>
      <name val="Calibri"/>
      <family val="2"/>
      <scheme val="minor"/>
    </font>
    <font>
      <sz val="14"/>
      <color rgb="FFFF0000"/>
      <name val="Calibri"/>
      <family val="2"/>
      <scheme val="minor"/>
    </font>
    <font>
      <sz val="11"/>
      <name val="Calibri"/>
      <family val="2"/>
      <scheme val="minor"/>
    </font>
    <font>
      <b/>
      <i/>
      <sz val="16"/>
      <color rgb="FF009900"/>
      <name val="Calibri"/>
      <family val="2"/>
      <scheme val="minor"/>
    </font>
    <font>
      <sz val="10"/>
      <color theme="1"/>
      <name val="Calibri"/>
      <family val="2"/>
      <scheme val="minor"/>
    </font>
    <font>
      <sz val="11"/>
      <color rgb="FFFF0000"/>
      <name val="Calibri"/>
      <family val="2"/>
      <scheme val="minor"/>
    </font>
    <font>
      <b/>
      <sz val="8"/>
      <color indexed="10"/>
      <name val="Arial"/>
      <family val="2"/>
    </font>
    <font>
      <sz val="8"/>
      <name val="Arial"/>
      <family val="2"/>
    </font>
    <font>
      <b/>
      <sz val="12"/>
      <color indexed="10"/>
      <name val="Arial"/>
      <family val="2"/>
    </font>
    <font>
      <b/>
      <sz val="8"/>
      <color indexed="52"/>
      <name val="Arial"/>
      <family val="2"/>
    </font>
    <font>
      <b/>
      <sz val="8"/>
      <color indexed="57"/>
      <name val="Arial"/>
      <family val="2"/>
    </font>
    <font>
      <b/>
      <sz val="12"/>
      <color indexed="57"/>
      <name val="Arial"/>
      <family val="2"/>
    </font>
    <font>
      <b/>
      <sz val="8"/>
      <name val="Arial"/>
      <family val="2"/>
    </font>
    <font>
      <sz val="11"/>
      <color indexed="81"/>
      <name val="Tahoma"/>
      <family val="2"/>
    </font>
    <font>
      <sz val="8"/>
      <color indexed="81"/>
      <name val="Tahoma"/>
      <family val="2"/>
    </font>
    <font>
      <b/>
      <sz val="14"/>
      <color rgb="FFFF0000"/>
      <name val="Calibri"/>
      <family val="2"/>
      <scheme val="minor"/>
    </font>
    <font>
      <sz val="22"/>
      <color rgb="FFFF0000"/>
      <name val="Calibri"/>
      <family val="2"/>
      <scheme val="minor"/>
    </font>
    <font>
      <sz val="16"/>
      <color theme="6" tint="-0.249977111117893"/>
      <name val="Calibri"/>
      <family val="2"/>
      <scheme val="minor"/>
    </font>
    <font>
      <sz val="18"/>
      <color theme="1"/>
      <name val="Calibri"/>
      <family val="2"/>
      <scheme val="minor"/>
    </font>
    <font>
      <sz val="12"/>
      <name val="Calibri"/>
      <family val="2"/>
      <scheme val="minor"/>
    </font>
    <font>
      <sz val="11"/>
      <color theme="6" tint="0.79998168889431442"/>
      <name val="Calibri"/>
      <family val="2"/>
      <scheme val="minor"/>
    </font>
    <font>
      <sz val="12"/>
      <color theme="6" tint="0.79998168889431442"/>
      <name val="Calibri"/>
      <family val="2"/>
      <scheme val="minor"/>
    </font>
    <font>
      <sz val="16"/>
      <name val="Calibri"/>
      <family val="2"/>
      <scheme val="minor"/>
    </font>
    <font>
      <sz val="11"/>
      <color rgb="FF00B050"/>
      <name val="Calibri"/>
      <family val="2"/>
      <scheme val="minor"/>
    </font>
    <font>
      <sz val="24"/>
      <color rgb="FFFF0000"/>
      <name val="Calibri"/>
      <family val="2"/>
      <scheme val="minor"/>
    </font>
    <font>
      <i/>
      <sz val="12"/>
      <color theme="1"/>
      <name val="Calibri"/>
      <family val="2"/>
      <scheme val="minor"/>
    </font>
    <font>
      <i/>
      <sz val="11"/>
      <color indexed="8"/>
      <name val="Calibri"/>
      <family val="2"/>
      <scheme val="minor"/>
    </font>
    <font>
      <i/>
      <sz val="14"/>
      <color theme="1"/>
      <name val="Calibri"/>
      <family val="2"/>
      <scheme val="minor"/>
    </font>
    <font>
      <sz val="26"/>
      <color rgb="FF009900"/>
      <name val="Calibri"/>
      <family val="2"/>
      <scheme val="minor"/>
    </font>
    <font>
      <sz val="10"/>
      <color rgb="FFFF0000"/>
      <name val="Calibri"/>
      <family val="2"/>
      <scheme val="minor"/>
    </font>
    <font>
      <b/>
      <sz val="10"/>
      <color theme="6" tint="-0.499984740745262"/>
      <name val="Calibri"/>
      <family val="2"/>
      <scheme val="minor"/>
    </font>
    <font>
      <sz val="26"/>
      <color theme="1" tint="0.499984740745262"/>
      <name val="Calibri"/>
      <family val="2"/>
      <scheme val="minor"/>
    </font>
    <font>
      <sz val="14"/>
      <name val="Calibri"/>
      <family val="2"/>
      <scheme val="minor"/>
    </font>
    <font>
      <b/>
      <sz val="14"/>
      <name val="Calibri"/>
      <family val="2"/>
      <scheme val="minor"/>
    </font>
    <font>
      <i/>
      <sz val="11"/>
      <name val="Calibri"/>
      <family val="2"/>
      <scheme val="minor"/>
    </font>
    <font>
      <sz val="11"/>
      <color rgb="FFFF3300"/>
      <name val="Calibri"/>
      <family val="2"/>
      <scheme val="minor"/>
    </font>
    <font>
      <sz val="11"/>
      <color rgb="FFFFC000"/>
      <name val="Calibri"/>
      <family val="2"/>
      <scheme val="minor"/>
    </font>
    <font>
      <sz val="11"/>
      <color rgb="FFFFFF00"/>
      <name val="Calibri"/>
      <family val="2"/>
      <scheme val="minor"/>
    </font>
    <font>
      <sz val="11"/>
      <color theme="4"/>
      <name val="Calibri"/>
      <family val="2"/>
      <scheme val="minor"/>
    </font>
    <font>
      <sz val="11"/>
      <color theme="3"/>
      <name val="Calibri"/>
      <family val="2"/>
      <scheme val="minor"/>
    </font>
    <font>
      <sz val="10"/>
      <name val="Calibri"/>
      <family val="2"/>
      <scheme val="minor"/>
    </font>
    <font>
      <vertAlign val="superscript"/>
      <sz val="10"/>
      <color indexed="8"/>
      <name val="Calibri"/>
      <family val="2"/>
      <scheme val="minor"/>
    </font>
    <font>
      <sz val="10"/>
      <color indexed="8"/>
      <name val="Calibri"/>
      <family val="2"/>
      <scheme val="minor"/>
    </font>
    <font>
      <sz val="26"/>
      <color theme="1" tint="0.499984740745262"/>
      <name val="Calibri"/>
      <family val="2"/>
    </font>
  </fonts>
  <fills count="31">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4"/>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rgb="FF993300"/>
        <bgColor indexed="64"/>
      </patternFill>
    </fill>
    <fill>
      <patternFill patternType="solid">
        <fgColor rgb="FF00FFFF"/>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indexed="4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ck">
        <color theme="6" tint="0.79998168889431442"/>
      </left>
      <right style="thick">
        <color theme="6" tint="0.79998168889431442"/>
      </right>
      <top style="thick">
        <color theme="6" tint="0.79998168889431442"/>
      </top>
      <bottom style="thick">
        <color theme="6" tint="0.79998168889431442"/>
      </bottom>
      <diagonal/>
    </border>
    <border>
      <left style="thick">
        <color theme="6" tint="0.79998168889431442"/>
      </left>
      <right/>
      <top style="thick">
        <color theme="6" tint="0.79998168889431442"/>
      </top>
      <bottom style="thick">
        <color theme="6" tint="0.79998168889431442"/>
      </bottom>
      <diagonal/>
    </border>
    <border>
      <left/>
      <right/>
      <top/>
      <bottom style="thin">
        <color auto="1"/>
      </bottom>
      <diagonal/>
    </border>
    <border>
      <left style="medium">
        <color theme="6" tint="0.79998168889431442"/>
      </left>
      <right style="medium">
        <color theme="6" tint="0.79998168889431442"/>
      </right>
      <top style="medium">
        <color theme="6" tint="0.79998168889431442"/>
      </top>
      <bottom style="medium">
        <color theme="6" tint="0.79998168889431442"/>
      </bottom>
      <diagonal/>
    </border>
    <border>
      <left/>
      <right style="thick">
        <color theme="6" tint="0.79998168889431442"/>
      </right>
      <top style="thick">
        <color theme="6" tint="0.79998168889431442"/>
      </top>
      <bottom style="thick">
        <color theme="6" tint="0.79998168889431442"/>
      </bottom>
      <diagonal/>
    </border>
  </borders>
  <cellStyleXfs count="6">
    <xf numFmtId="0" fontId="0" fillId="0" borderId="0"/>
    <xf numFmtId="43" fontId="9" fillId="0" borderId="0" applyFont="0" applyFill="0" applyBorder="0" applyAlignment="0" applyProtection="0"/>
    <xf numFmtId="0" fontId="10" fillId="0" borderId="0" applyNumberFormat="0" applyFill="0" applyBorder="0" applyAlignment="0" applyProtection="0"/>
    <xf numFmtId="165" fontId="8" fillId="0" borderId="0"/>
    <xf numFmtId="0" fontId="6" fillId="0" borderId="0"/>
    <xf numFmtId="0" fontId="9" fillId="27" borderId="0" applyNumberFormat="0" applyBorder="0" applyAlignment="0" applyProtection="0"/>
  </cellStyleXfs>
  <cellXfs count="344">
    <xf numFmtId="0" fontId="0" fillId="0" borderId="0" xfId="0"/>
    <xf numFmtId="0" fontId="10" fillId="0" borderId="0" xfId="2"/>
    <xf numFmtId="0" fontId="0" fillId="0" borderId="0" xfId="0" applyAlignment="1">
      <alignment horizontal="right"/>
    </xf>
    <xf numFmtId="2" fontId="0" fillId="0" borderId="0" xfId="0" applyNumberFormat="1"/>
    <xf numFmtId="164" fontId="0" fillId="0" borderId="0" xfId="0" applyNumberFormat="1"/>
    <xf numFmtId="0" fontId="0" fillId="3" borderId="0" xfId="0" applyFill="1"/>
    <xf numFmtId="0" fontId="0" fillId="4" borderId="0" xfId="0" applyFill="1"/>
    <xf numFmtId="17" fontId="0" fillId="0" borderId="0" xfId="0" applyNumberFormat="1"/>
    <xf numFmtId="0" fontId="12" fillId="0" borderId="0" xfId="0" applyFont="1" applyAlignment="1">
      <alignment horizontal="left" vertical="center" readingOrder="1"/>
    </xf>
    <xf numFmtId="0" fontId="12" fillId="0" borderId="0" xfId="0" applyFont="1" applyAlignment="1">
      <alignment horizontal="right" vertical="center" readingOrder="1"/>
    </xf>
    <xf numFmtId="0" fontId="11" fillId="0" borderId="0" xfId="0" applyFont="1"/>
    <xf numFmtId="0" fontId="0" fillId="5" borderId="0" xfId="0" applyFill="1"/>
    <xf numFmtId="0" fontId="0" fillId="6" borderId="0" xfId="0" applyFill="1"/>
    <xf numFmtId="0" fontId="0" fillId="7" borderId="1" xfId="0" applyFill="1" applyBorder="1"/>
    <xf numFmtId="0" fontId="0" fillId="7" borderId="2" xfId="0" applyFill="1" applyBorder="1"/>
    <xf numFmtId="0" fontId="11" fillId="8" borderId="0" xfId="0" applyFont="1" applyFill="1"/>
    <xf numFmtId="0" fontId="0" fillId="8" borderId="0" xfId="0" applyFill="1"/>
    <xf numFmtId="0" fontId="0" fillId="9" borderId="3" xfId="0" applyFill="1" applyBorder="1"/>
    <xf numFmtId="0" fontId="0" fillId="9" borderId="4" xfId="0" applyFill="1" applyBorder="1"/>
    <xf numFmtId="0" fontId="0" fillId="9" borderId="5" xfId="0" applyFill="1" applyBorder="1"/>
    <xf numFmtId="0" fontId="0" fillId="9" borderId="6" xfId="0" applyFill="1" applyBorder="1"/>
    <xf numFmtId="0" fontId="0" fillId="9" borderId="0" xfId="0" applyFill="1" applyBorder="1"/>
    <xf numFmtId="0" fontId="0" fillId="9" borderId="7" xfId="0" applyFill="1" applyBorder="1"/>
    <xf numFmtId="2" fontId="0" fillId="9" borderId="0" xfId="0" applyNumberFormat="1" applyFill="1" applyBorder="1"/>
    <xf numFmtId="2" fontId="0" fillId="9" borderId="7" xfId="0" applyNumberFormat="1" applyFill="1" applyBorder="1"/>
    <xf numFmtId="0" fontId="0" fillId="9" borderId="8" xfId="0" applyFill="1" applyBorder="1"/>
    <xf numFmtId="0" fontId="0" fillId="9" borderId="9" xfId="0" applyFill="1" applyBorder="1"/>
    <xf numFmtId="0" fontId="0" fillId="9" borderId="10" xfId="0" applyFill="1" applyBorder="1"/>
    <xf numFmtId="0" fontId="0" fillId="10" borderId="11" xfId="0" applyFill="1" applyBorder="1"/>
    <xf numFmtId="0" fontId="0" fillId="10" borderId="12" xfId="0" applyFill="1" applyBorder="1"/>
    <xf numFmtId="0" fontId="0" fillId="10" borderId="13" xfId="0" applyFill="1" applyBorder="1"/>
    <xf numFmtId="2" fontId="0" fillId="7" borderId="1" xfId="0" applyNumberFormat="1" applyFill="1" applyBorder="1"/>
    <xf numFmtId="0" fontId="12" fillId="0" borderId="0" xfId="0" applyFont="1" applyAlignment="1">
      <alignment horizontal="center" vertical="center" readingOrder="1"/>
    </xf>
    <xf numFmtId="2" fontId="0" fillId="3" borderId="0" xfId="0" applyNumberFormat="1" applyFill="1"/>
    <xf numFmtId="0" fontId="0" fillId="0" borderId="0" xfId="0" applyBorder="1"/>
    <xf numFmtId="0" fontId="13" fillId="0" borderId="0" xfId="0" applyFont="1"/>
    <xf numFmtId="0" fontId="6" fillId="0" borderId="0" xfId="0" applyFont="1" applyBorder="1"/>
    <xf numFmtId="0" fontId="6" fillId="0" borderId="0" xfId="0" applyFont="1" applyFill="1" applyBorder="1"/>
    <xf numFmtId="0" fontId="0" fillId="0" borderId="0" xfId="0" applyFill="1" applyBorder="1"/>
    <xf numFmtId="0" fontId="13" fillId="0" borderId="0" xfId="0" applyFont="1" applyFill="1" applyBorder="1" applyAlignment="1">
      <alignment vertical="center"/>
    </xf>
    <xf numFmtId="0" fontId="7" fillId="2" borderId="0" xfId="4" applyFont="1" applyFill="1" applyBorder="1" applyAlignment="1">
      <alignment horizontal="left" wrapText="1"/>
    </xf>
    <xf numFmtId="3" fontId="6" fillId="2" borderId="0" xfId="1" applyNumberFormat="1" applyFont="1" applyFill="1"/>
    <xf numFmtId="0" fontId="7" fillId="2" borderId="0" xfId="4" quotePrefix="1" applyFont="1" applyFill="1" applyBorder="1" applyAlignment="1">
      <alignment horizontal="left" wrapText="1"/>
    </xf>
    <xf numFmtId="165" fontId="7" fillId="2" borderId="0" xfId="3" applyFont="1" applyFill="1"/>
    <xf numFmtId="3" fontId="6" fillId="2" borderId="0" xfId="3" applyNumberFormat="1" applyFont="1" applyFill="1" applyAlignment="1">
      <alignment horizontal="right"/>
    </xf>
    <xf numFmtId="3" fontId="0" fillId="0" borderId="0" xfId="0" applyNumberFormat="1"/>
    <xf numFmtId="166" fontId="0" fillId="0" borderId="0" xfId="0" applyNumberFormat="1"/>
    <xf numFmtId="166" fontId="0" fillId="3" borderId="0" xfId="0" applyNumberFormat="1" applyFill="1"/>
    <xf numFmtId="0" fontId="0" fillId="11" borderId="0" xfId="0" applyFill="1"/>
    <xf numFmtId="0" fontId="0" fillId="3" borderId="14" xfId="0" applyFill="1" applyBorder="1"/>
    <xf numFmtId="0" fontId="0" fillId="12" borderId="0" xfId="0" applyFill="1"/>
    <xf numFmtId="0" fontId="0" fillId="0" borderId="0" xfId="0" applyFill="1"/>
    <xf numFmtId="0" fontId="0" fillId="13" borderId="0" xfId="0" applyFill="1"/>
    <xf numFmtId="2" fontId="0" fillId="13" borderId="0" xfId="0" applyNumberFormat="1" applyFill="1"/>
    <xf numFmtId="0" fontId="13" fillId="0" borderId="0" xfId="0" applyFont="1" applyBorder="1" applyAlignment="1">
      <alignment vertical="center" wrapText="1"/>
    </xf>
    <xf numFmtId="0" fontId="13" fillId="0" borderId="0" xfId="0" applyFont="1" applyBorder="1" applyAlignment="1">
      <alignment vertical="center"/>
    </xf>
    <xf numFmtId="0" fontId="0" fillId="0" borderId="0" xfId="0" applyBorder="1" applyAlignment="1">
      <alignment vertical="top" wrapText="1"/>
    </xf>
    <xf numFmtId="2" fontId="0" fillId="12" borderId="0" xfId="0" applyNumberFormat="1" applyFill="1"/>
    <xf numFmtId="164" fontId="0" fillId="12" borderId="0" xfId="0" applyNumberFormat="1" applyFill="1"/>
    <xf numFmtId="0" fontId="0" fillId="14" borderId="0" xfId="0" applyFill="1"/>
    <xf numFmtId="2" fontId="0" fillId="4" borderId="0" xfId="0" applyNumberFormat="1" applyFill="1"/>
    <xf numFmtId="0" fontId="15" fillId="4" borderId="0" xfId="0" applyFont="1" applyFill="1"/>
    <xf numFmtId="0" fontId="11" fillId="4" borderId="0" xfId="0" applyFont="1" applyFill="1"/>
    <xf numFmtId="0" fontId="16" fillId="0" borderId="0" xfId="0" applyFont="1"/>
    <xf numFmtId="165" fontId="0" fillId="0" borderId="0" xfId="0" applyNumberFormat="1"/>
    <xf numFmtId="0" fontId="7" fillId="2" borderId="0" xfId="3" applyNumberFormat="1" applyFont="1" applyFill="1"/>
    <xf numFmtId="0" fontId="6" fillId="2" borderId="0" xfId="0" applyFont="1" applyFill="1"/>
    <xf numFmtId="3" fontId="0" fillId="0" borderId="0" xfId="0" applyNumberFormat="1" applyBorder="1"/>
    <xf numFmtId="0" fontId="6" fillId="2" borderId="0" xfId="1" applyNumberFormat="1" applyFont="1" applyFill="1"/>
    <xf numFmtId="0" fontId="6" fillId="2" borderId="0" xfId="3" applyNumberFormat="1" applyFont="1" applyFill="1" applyAlignment="1">
      <alignment horizontal="right"/>
    </xf>
    <xf numFmtId="0" fontId="7" fillId="2" borderId="0" xfId="3" applyNumberFormat="1" applyFont="1" applyFill="1" applyBorder="1"/>
    <xf numFmtId="0" fontId="0" fillId="16" borderId="0" xfId="0" applyFill="1"/>
    <xf numFmtId="2" fontId="0" fillId="16" borderId="0" xfId="0" applyNumberFormat="1" applyFill="1"/>
    <xf numFmtId="167" fontId="0" fillId="4" borderId="0" xfId="0" applyNumberFormat="1" applyFill="1"/>
    <xf numFmtId="0" fontId="18" fillId="0" borderId="0" xfId="0" applyFont="1"/>
    <xf numFmtId="0" fontId="0" fillId="17" borderId="0" xfId="0" applyFill="1"/>
    <xf numFmtId="0" fontId="0" fillId="18" borderId="0" xfId="0" applyFill="1"/>
    <xf numFmtId="0" fontId="12" fillId="0" borderId="0" xfId="0" applyFont="1" applyBorder="1" applyAlignment="1">
      <alignment horizontal="center" vertical="center" readingOrder="1"/>
    </xf>
    <xf numFmtId="0" fontId="12" fillId="0" borderId="0" xfId="0" applyFont="1" applyBorder="1" applyAlignment="1">
      <alignment horizontal="left" vertical="center" readingOrder="1"/>
    </xf>
    <xf numFmtId="0" fontId="14" fillId="16" borderId="0" xfId="0" applyFont="1" applyFill="1"/>
    <xf numFmtId="0" fontId="18" fillId="16" borderId="0" xfId="0" applyFont="1" applyFill="1" applyBorder="1"/>
    <xf numFmtId="0" fontId="18" fillId="16" borderId="0" xfId="0" applyFont="1" applyFill="1"/>
    <xf numFmtId="0" fontId="0" fillId="19" borderId="0" xfId="0" applyFill="1"/>
    <xf numFmtId="0" fontId="0" fillId="19" borderId="0" xfId="0" applyFill="1" applyBorder="1"/>
    <xf numFmtId="0" fontId="13" fillId="19" borderId="0" xfId="0" applyFont="1" applyFill="1" applyAlignment="1">
      <alignment vertical="center"/>
    </xf>
    <xf numFmtId="2" fontId="0" fillId="17" borderId="0" xfId="0" applyNumberFormat="1" applyFill="1"/>
    <xf numFmtId="0" fontId="18" fillId="0" borderId="0" xfId="0" applyFont="1" applyFill="1"/>
    <xf numFmtId="2" fontId="18" fillId="0" borderId="0" xfId="0" applyNumberFormat="1" applyFont="1"/>
    <xf numFmtId="0" fontId="0" fillId="16" borderId="0" xfId="0" applyFill="1" applyAlignment="1">
      <alignment horizontal="right"/>
    </xf>
    <xf numFmtId="0" fontId="20" fillId="16" borderId="0" xfId="0" applyFont="1" applyFill="1" applyAlignment="1">
      <alignment horizontal="left"/>
    </xf>
    <xf numFmtId="0" fontId="21" fillId="16" borderId="0" xfId="0" applyFont="1" applyFill="1" applyAlignment="1">
      <alignment horizontal="center"/>
    </xf>
    <xf numFmtId="0" fontId="18" fillId="16" borderId="0" xfId="0" applyFont="1" applyFill="1" applyAlignment="1">
      <alignment horizontal="right"/>
    </xf>
    <xf numFmtId="0" fontId="20" fillId="16" borderId="0" xfId="0" applyFont="1" applyFill="1"/>
    <xf numFmtId="2" fontId="11" fillId="17" borderId="0" xfId="0" applyNumberFormat="1" applyFont="1" applyFill="1"/>
    <xf numFmtId="164" fontId="20" fillId="17" borderId="0" xfId="0" applyNumberFormat="1" applyFont="1" applyFill="1"/>
    <xf numFmtId="1" fontId="20" fillId="18" borderId="1" xfId="0" applyNumberFormat="1" applyFont="1" applyFill="1" applyBorder="1" applyAlignment="1">
      <alignment horizontal="center"/>
    </xf>
    <xf numFmtId="0" fontId="24" fillId="16" borderId="0" xfId="0" applyFont="1" applyFill="1" applyAlignment="1">
      <alignment horizontal="left"/>
    </xf>
    <xf numFmtId="0" fontId="25" fillId="0" borderId="0" xfId="0" applyFont="1"/>
    <xf numFmtId="2" fontId="26" fillId="9" borderId="0" xfId="0" applyNumberFormat="1" applyFont="1" applyFill="1"/>
    <xf numFmtId="2" fontId="27" fillId="9" borderId="0" xfId="0" applyNumberFormat="1" applyFont="1" applyFill="1"/>
    <xf numFmtId="0" fontId="28" fillId="17" borderId="0" xfId="0" applyFont="1" applyFill="1"/>
    <xf numFmtId="0" fontId="26" fillId="9" borderId="0" xfId="0" applyFont="1" applyFill="1"/>
    <xf numFmtId="2" fontId="0" fillId="16" borderId="0" xfId="0" applyNumberFormat="1" applyFill="1" applyAlignment="1">
      <alignment horizontal="right"/>
    </xf>
    <xf numFmtId="2" fontId="0" fillId="21" borderId="0" xfId="0" applyNumberFormat="1" applyFill="1" applyAlignment="1">
      <alignment horizontal="center"/>
    </xf>
    <xf numFmtId="0" fontId="0" fillId="21" borderId="0" xfId="0" applyFill="1" applyAlignment="1">
      <alignment horizontal="center"/>
    </xf>
    <xf numFmtId="164" fontId="0" fillId="21" borderId="0" xfId="0" applyNumberFormat="1" applyFill="1" applyAlignment="1">
      <alignment horizontal="center"/>
    </xf>
    <xf numFmtId="164" fontId="11" fillId="18" borderId="0" xfId="0" applyNumberFormat="1" applyFont="1" applyFill="1" applyAlignment="1">
      <alignment horizontal="center"/>
    </xf>
    <xf numFmtId="2" fontId="29" fillId="9" borderId="0" xfId="0" applyNumberFormat="1" applyFont="1" applyFill="1"/>
    <xf numFmtId="0" fontId="18" fillId="5" borderId="0" xfId="0" applyFont="1" applyFill="1"/>
    <xf numFmtId="0" fontId="30" fillId="16" borderId="0" xfId="0" applyFont="1" applyFill="1" applyAlignment="1">
      <alignment horizontal="left"/>
    </xf>
    <xf numFmtId="2" fontId="0" fillId="16" borderId="0" xfId="0" quotePrefix="1" applyNumberFormat="1" applyFill="1" applyAlignment="1">
      <alignment horizontal="right"/>
    </xf>
    <xf numFmtId="0" fontId="31" fillId="0" borderId="0" xfId="0" applyFont="1"/>
    <xf numFmtId="1" fontId="34" fillId="0" borderId="0" xfId="0" applyNumberFormat="1" applyFont="1" applyFill="1" applyAlignment="1">
      <alignment horizontal="center" vertical="center"/>
    </xf>
    <xf numFmtId="1" fontId="35" fillId="0" borderId="0" xfId="0" applyNumberFormat="1" applyFont="1" applyFill="1" applyAlignment="1">
      <alignment horizontal="center" vertical="center"/>
    </xf>
    <xf numFmtId="1" fontId="36" fillId="0" borderId="0" xfId="0" applyNumberFormat="1" applyFont="1" applyFill="1" applyAlignment="1">
      <alignment horizontal="center" vertical="center"/>
    </xf>
    <xf numFmtId="1" fontId="37" fillId="0" borderId="0" xfId="0" applyNumberFormat="1" applyFont="1" applyFill="1" applyAlignment="1">
      <alignment horizontal="center" vertical="center"/>
    </xf>
    <xf numFmtId="2" fontId="14" fillId="25" borderId="0" xfId="0" applyNumberFormat="1" applyFont="1" applyFill="1"/>
    <xf numFmtId="0" fontId="14" fillId="0" borderId="0" xfId="0" applyFont="1" applyFill="1"/>
    <xf numFmtId="2" fontId="22" fillId="0" borderId="0" xfId="0" applyNumberFormat="1" applyFont="1" applyFill="1"/>
    <xf numFmtId="0" fontId="24" fillId="26" borderId="0" xfId="0" applyFont="1" applyFill="1" applyBorder="1"/>
    <xf numFmtId="1" fontId="20" fillId="18" borderId="0" xfId="0" applyNumberFormat="1" applyFont="1" applyFill="1" applyBorder="1" applyAlignment="1">
      <alignment horizontal="center"/>
    </xf>
    <xf numFmtId="166" fontId="27" fillId="9" borderId="0" xfId="0" applyNumberFormat="1" applyFont="1" applyFill="1"/>
    <xf numFmtId="0" fontId="44" fillId="0" borderId="0" xfId="0" applyFont="1"/>
    <xf numFmtId="0" fontId="11" fillId="26" borderId="0" xfId="0" applyFont="1" applyFill="1"/>
    <xf numFmtId="0" fontId="21" fillId="0" borderId="0" xfId="0" applyFont="1"/>
    <xf numFmtId="0" fontId="0" fillId="28" borderId="0" xfId="0" applyFill="1"/>
    <xf numFmtId="0" fontId="46" fillId="28" borderId="0" xfId="0" applyFont="1" applyFill="1" applyAlignment="1">
      <alignment horizontal="right"/>
    </xf>
    <xf numFmtId="0" fontId="47" fillId="28" borderId="0" xfId="5" applyFont="1" applyFill="1" applyAlignment="1">
      <alignment horizontal="right"/>
    </xf>
    <xf numFmtId="0" fontId="41" fillId="28" borderId="0" xfId="0" applyFont="1" applyFill="1"/>
    <xf numFmtId="0" fontId="11" fillId="28" borderId="0" xfId="0" applyFont="1" applyFill="1"/>
    <xf numFmtId="0" fontId="18" fillId="28" borderId="0" xfId="0" applyFont="1" applyFill="1"/>
    <xf numFmtId="0" fontId="19" fillId="28" borderId="0" xfId="0" applyFont="1" applyFill="1"/>
    <xf numFmtId="0" fontId="28" fillId="28" borderId="0" xfId="5" applyFont="1" applyFill="1"/>
    <xf numFmtId="0" fontId="28" fillId="28" borderId="0" xfId="5" applyFont="1" applyFill="1" applyAlignment="1">
      <alignment vertical="top"/>
    </xf>
    <xf numFmtId="0" fontId="45" fillId="28" borderId="0" xfId="5" applyFont="1" applyFill="1"/>
    <xf numFmtId="0" fontId="49" fillId="28" borderId="0" xfId="5" applyFont="1" applyFill="1" applyAlignment="1">
      <alignment vertical="top"/>
    </xf>
    <xf numFmtId="0" fontId="45" fillId="28" borderId="0" xfId="5" applyFont="1" applyFill="1" applyAlignment="1">
      <alignment vertical="top"/>
    </xf>
    <xf numFmtId="0" fontId="0" fillId="28" borderId="0" xfId="0" applyFill="1" applyAlignment="1">
      <alignment vertical="center"/>
    </xf>
    <xf numFmtId="0" fontId="9" fillId="28" borderId="0" xfId="0" applyFont="1" applyFill="1"/>
    <xf numFmtId="0" fontId="21" fillId="28" borderId="0" xfId="0" applyFont="1" applyFill="1"/>
    <xf numFmtId="0" fontId="9" fillId="0" borderId="0" xfId="0" applyFont="1"/>
    <xf numFmtId="0" fontId="9" fillId="28" borderId="0" xfId="0" applyFont="1" applyFill="1" applyAlignment="1">
      <alignment wrapText="1"/>
    </xf>
    <xf numFmtId="0" fontId="18" fillId="28" borderId="0" xfId="0" applyFont="1" applyFill="1" applyAlignment="1">
      <alignment horizontal="center"/>
    </xf>
    <xf numFmtId="0" fontId="9" fillId="0" borderId="0" xfId="0" applyFont="1" applyFill="1"/>
    <xf numFmtId="0" fontId="18" fillId="28" borderId="0" xfId="0" applyFont="1" applyFill="1" applyAlignment="1">
      <alignment horizontal="center" vertical="top" wrapText="1"/>
    </xf>
    <xf numFmtId="0" fontId="51" fillId="28" borderId="0" xfId="0" applyFont="1" applyFill="1" applyAlignment="1">
      <alignment horizontal="center"/>
    </xf>
    <xf numFmtId="0" fontId="51" fillId="28" borderId="0" xfId="0" applyFont="1" applyFill="1" applyAlignment="1">
      <alignment horizontal="right" vertical="center"/>
    </xf>
    <xf numFmtId="2" fontId="9" fillId="0" borderId="0" xfId="0" applyNumberFormat="1" applyFont="1" applyFill="1"/>
    <xf numFmtId="0" fontId="9" fillId="0" borderId="0" xfId="0" applyFont="1" applyAlignment="1">
      <alignment horizontal="right"/>
    </xf>
    <xf numFmtId="2" fontId="9" fillId="0" borderId="0" xfId="0" applyNumberFormat="1" applyFont="1"/>
    <xf numFmtId="0" fontId="9" fillId="0" borderId="0" xfId="0" applyFont="1" applyFill="1" applyAlignment="1">
      <alignment horizontal="right"/>
    </xf>
    <xf numFmtId="0" fontId="9" fillId="28" borderId="0" xfId="0" applyFont="1" applyFill="1" applyAlignment="1">
      <alignment vertical="top"/>
    </xf>
    <xf numFmtId="0" fontId="9" fillId="16" borderId="0" xfId="0" applyFont="1" applyFill="1"/>
    <xf numFmtId="0" fontId="9" fillId="17" borderId="0" xfId="0" applyFont="1" applyFill="1"/>
    <xf numFmtId="0" fontId="9" fillId="19" borderId="0" xfId="0" applyFont="1" applyFill="1"/>
    <xf numFmtId="166" fontId="9" fillId="9" borderId="0" xfId="0" applyNumberFormat="1" applyFont="1" applyFill="1"/>
    <xf numFmtId="0" fontId="9" fillId="9" borderId="0" xfId="0" applyFont="1" applyFill="1"/>
    <xf numFmtId="0" fontId="0" fillId="0" borderId="0" xfId="0" applyAlignment="1">
      <alignment wrapText="1"/>
    </xf>
    <xf numFmtId="0" fontId="0" fillId="0" borderId="0" xfId="0" applyFont="1" applyAlignment="1">
      <alignment wrapText="1"/>
    </xf>
    <xf numFmtId="0" fontId="24" fillId="28" borderId="0" xfId="0" applyFont="1" applyFill="1" applyAlignment="1">
      <alignment wrapText="1"/>
    </xf>
    <xf numFmtId="0" fontId="24" fillId="28" borderId="0" xfId="0" applyFont="1" applyFill="1" applyAlignment="1">
      <alignment horizontal="left" wrapText="1" indent="1"/>
    </xf>
    <xf numFmtId="0" fontId="24" fillId="28" borderId="0" xfId="0" applyFont="1" applyFill="1" applyAlignment="1">
      <alignment horizontal="left" indent="3"/>
    </xf>
    <xf numFmtId="0" fontId="0" fillId="28" borderId="0" xfId="0" applyFont="1" applyFill="1" applyAlignment="1">
      <alignment wrapText="1"/>
    </xf>
    <xf numFmtId="0" fontId="24" fillId="28" borderId="0" xfId="0" applyFont="1" applyFill="1" applyAlignment="1">
      <alignment horizontal="left" wrapText="1" indent="2"/>
    </xf>
    <xf numFmtId="0" fontId="0" fillId="28" borderId="0" xfId="0" applyFill="1" applyAlignment="1">
      <alignment wrapText="1"/>
    </xf>
    <xf numFmtId="0" fontId="14" fillId="28" borderId="0" xfId="0" applyFont="1" applyFill="1" applyAlignment="1">
      <alignment vertical="center"/>
    </xf>
    <xf numFmtId="0" fontId="14" fillId="28" borderId="0" xfId="0" applyFont="1" applyFill="1" applyAlignment="1">
      <alignment vertical="center" wrapText="1"/>
    </xf>
    <xf numFmtId="0" fontId="14" fillId="28" borderId="0" xfId="0" applyFont="1" applyFill="1" applyAlignment="1">
      <alignment horizontal="left" wrapText="1"/>
    </xf>
    <xf numFmtId="0" fontId="14" fillId="28" borderId="0" xfId="0" applyFont="1" applyFill="1" applyAlignment="1">
      <alignment horizontal="left" wrapText="1" indent="2"/>
    </xf>
    <xf numFmtId="0" fontId="0" fillId="28" borderId="0" xfId="0" applyFont="1" applyFill="1" applyAlignment="1">
      <alignment horizontal="left" vertical="center" wrapText="1"/>
    </xf>
    <xf numFmtId="0" fontId="0" fillId="28" borderId="0" xfId="0" applyFont="1" applyFill="1" applyAlignment="1">
      <alignment horizontal="left" vertical="center" wrapText="1" indent="2"/>
    </xf>
    <xf numFmtId="0" fontId="21" fillId="28" borderId="0" xfId="0" applyFont="1" applyFill="1" applyAlignment="1">
      <alignment horizontal="left" vertical="top" wrapText="1"/>
    </xf>
    <xf numFmtId="0" fontId="0" fillId="28" borderId="0" xfId="0" applyFont="1" applyFill="1" applyAlignment="1">
      <alignment vertical="center" wrapText="1"/>
    </xf>
    <xf numFmtId="2" fontId="23" fillId="28" borderId="0" xfId="0" applyNumberFormat="1" applyFont="1" applyFill="1"/>
    <xf numFmtId="2" fontId="54" fillId="28" borderId="0" xfId="0" applyNumberFormat="1" applyFont="1" applyFill="1" applyAlignment="1">
      <alignment horizontal="left" vertical="center"/>
    </xf>
    <xf numFmtId="0" fontId="0" fillId="28" borderId="0" xfId="0" applyFill="1" applyAlignment="1">
      <alignment horizontal="left"/>
    </xf>
    <xf numFmtId="0" fontId="24" fillId="16" borderId="0" xfId="0" applyFont="1" applyFill="1" applyBorder="1" applyAlignment="1">
      <alignment horizontal="center" vertical="center"/>
    </xf>
    <xf numFmtId="2" fontId="43" fillId="28" borderId="0" xfId="0" applyNumberFormat="1" applyFont="1" applyFill="1"/>
    <xf numFmtId="0" fontId="14" fillId="28" borderId="0" xfId="0" applyFont="1" applyFill="1" applyBorder="1"/>
    <xf numFmtId="0" fontId="20" fillId="28" borderId="0" xfId="0" applyFont="1" applyFill="1" applyAlignment="1">
      <alignment horizontal="right"/>
    </xf>
    <xf numFmtId="0" fontId="11" fillId="28" borderId="0" xfId="0" applyFont="1" applyFill="1" applyAlignment="1">
      <alignment horizontal="right"/>
    </xf>
    <xf numFmtId="0" fontId="30" fillId="0" borderId="0" xfId="0" applyFont="1"/>
    <xf numFmtId="0" fontId="30" fillId="0" borderId="0" xfId="0" applyFont="1" applyAlignment="1">
      <alignment horizontal="left"/>
    </xf>
    <xf numFmtId="0" fontId="30" fillId="0" borderId="0" xfId="0" applyFont="1" applyFill="1" applyAlignment="1">
      <alignment horizontal="left"/>
    </xf>
    <xf numFmtId="0" fontId="30" fillId="0" borderId="0" xfId="0" applyFont="1" applyFill="1"/>
    <xf numFmtId="0" fontId="55" fillId="0" borderId="0" xfId="0" applyFont="1" applyFill="1"/>
    <xf numFmtId="0" fontId="30" fillId="0" borderId="3" xfId="0" applyFont="1" applyBorder="1"/>
    <xf numFmtId="0" fontId="30" fillId="0" borderId="4" xfId="0" applyFont="1" applyBorder="1"/>
    <xf numFmtId="0" fontId="30" fillId="0" borderId="5" xfId="0" applyFont="1" applyBorder="1"/>
    <xf numFmtId="0" fontId="30" fillId="0" borderId="6" xfId="0" applyFont="1" applyBorder="1"/>
    <xf numFmtId="0" fontId="30" fillId="0" borderId="0" xfId="0" applyFont="1" applyBorder="1"/>
    <xf numFmtId="0" fontId="30" fillId="0" borderId="7" xfId="0" applyFont="1" applyBorder="1"/>
    <xf numFmtId="0" fontId="21" fillId="0" borderId="0" xfId="0" applyFont="1" applyBorder="1"/>
    <xf numFmtId="0" fontId="30" fillId="17" borderId="0" xfId="0" applyFont="1" applyFill="1" applyBorder="1"/>
    <xf numFmtId="0" fontId="30" fillId="0" borderId="6" xfId="0" applyFont="1" applyFill="1" applyBorder="1"/>
    <xf numFmtId="0" fontId="30" fillId="0" borderId="0" xfId="0" applyFont="1" applyFill="1" applyBorder="1"/>
    <xf numFmtId="2" fontId="30" fillId="17" borderId="0" xfId="0" applyNumberFormat="1" applyFont="1" applyFill="1" applyBorder="1"/>
    <xf numFmtId="0" fontId="21" fillId="0" borderId="0" xfId="0" applyFont="1" applyFill="1"/>
    <xf numFmtId="0" fontId="21" fillId="16" borderId="0" xfId="0" applyFont="1" applyFill="1"/>
    <xf numFmtId="0" fontId="30" fillId="17" borderId="0" xfId="0" applyFont="1" applyFill="1"/>
    <xf numFmtId="0" fontId="21" fillId="16" borderId="0" xfId="0" applyFont="1" applyFill="1" applyBorder="1"/>
    <xf numFmtId="0" fontId="30" fillId="0" borderId="0" xfId="0" applyFont="1" applyFill="1" applyAlignment="1">
      <alignment horizontal="right"/>
    </xf>
    <xf numFmtId="2" fontId="30" fillId="0" borderId="0" xfId="0" applyNumberFormat="1" applyFont="1" applyFill="1"/>
    <xf numFmtId="0" fontId="30" fillId="0" borderId="0" xfId="0" applyFont="1" applyBorder="1" applyAlignment="1">
      <alignment horizontal="right"/>
    </xf>
    <xf numFmtId="0" fontId="30" fillId="17" borderId="11" xfId="0" applyFont="1" applyFill="1" applyBorder="1"/>
    <xf numFmtId="2" fontId="30" fillId="0" borderId="0" xfId="0" applyNumberFormat="1" applyFont="1" applyBorder="1"/>
    <xf numFmtId="0" fontId="30" fillId="17" borderId="15" xfId="0" applyFont="1" applyFill="1" applyBorder="1"/>
    <xf numFmtId="0" fontId="30" fillId="17" borderId="12" xfId="0" applyFont="1" applyFill="1" applyBorder="1"/>
    <xf numFmtId="0" fontId="30" fillId="17" borderId="13" xfId="0" applyFont="1" applyFill="1" applyBorder="1"/>
    <xf numFmtId="0" fontId="30" fillId="0" borderId="8" xfId="0" applyFont="1" applyBorder="1"/>
    <xf numFmtId="0" fontId="30" fillId="0" borderId="9" xfId="0" applyFont="1" applyBorder="1"/>
    <xf numFmtId="2" fontId="30" fillId="0" borderId="9" xfId="0" applyNumberFormat="1" applyFont="1" applyBorder="1"/>
    <xf numFmtId="0" fontId="30" fillId="0" borderId="10" xfId="0" applyFont="1" applyBorder="1"/>
    <xf numFmtId="2" fontId="56" fillId="0" borderId="0" xfId="0" applyNumberFormat="1" applyFont="1" applyFill="1"/>
    <xf numFmtId="2" fontId="30" fillId="0" borderId="0" xfId="0" applyNumberFormat="1" applyFont="1"/>
    <xf numFmtId="0" fontId="30" fillId="0" borderId="0" xfId="0" applyFont="1" applyAlignment="1">
      <alignment horizontal="right"/>
    </xf>
    <xf numFmtId="0" fontId="31" fillId="28" borderId="0" xfId="0" applyFont="1" applyFill="1"/>
    <xf numFmtId="0" fontId="24" fillId="29" borderId="21" xfId="0" applyFont="1" applyFill="1" applyBorder="1" applyAlignment="1">
      <alignment horizontal="center" vertical="center"/>
    </xf>
    <xf numFmtId="0" fontId="24" fillId="29" borderId="0" xfId="0" applyFont="1" applyFill="1" applyAlignment="1">
      <alignment horizontal="center" vertical="center"/>
    </xf>
    <xf numFmtId="0" fontId="18" fillId="28" borderId="0" xfId="0" applyFont="1" applyFill="1" applyAlignment="1">
      <alignment vertical="center"/>
    </xf>
    <xf numFmtId="0" fontId="17" fillId="28" borderId="0" xfId="0" applyFont="1" applyFill="1" applyAlignment="1">
      <alignment horizontal="right"/>
    </xf>
    <xf numFmtId="0" fontId="24" fillId="28" borderId="0" xfId="0" applyFont="1" applyFill="1" applyAlignment="1">
      <alignment horizontal="right" vertical="center"/>
    </xf>
    <xf numFmtId="0" fontId="30" fillId="28" borderId="0" xfId="0" applyFont="1" applyFill="1" applyAlignment="1">
      <alignment horizontal="left"/>
    </xf>
    <xf numFmtId="0" fontId="30" fillId="28" borderId="0" xfId="0" applyFont="1" applyFill="1"/>
    <xf numFmtId="0" fontId="30" fillId="28" borderId="6" xfId="0" applyFont="1" applyFill="1" applyBorder="1"/>
    <xf numFmtId="0" fontId="30" fillId="28" borderId="0" xfId="0" applyFont="1" applyFill="1" applyBorder="1"/>
    <xf numFmtId="0" fontId="30" fillId="28" borderId="0" xfId="0" applyFont="1" applyFill="1" applyBorder="1" applyAlignment="1">
      <alignment horizontal="left"/>
    </xf>
    <xf numFmtId="0" fontId="24" fillId="29" borderId="0" xfId="0" applyFont="1" applyFill="1" applyBorder="1" applyAlignment="1">
      <alignment horizontal="center" vertical="center"/>
    </xf>
    <xf numFmtId="0" fontId="57" fillId="28" borderId="0" xfId="5" applyFont="1" applyFill="1" applyAlignment="1">
      <alignment horizontal="right" indent="1"/>
    </xf>
    <xf numFmtId="0" fontId="58" fillId="28" borderId="0" xfId="5" applyFont="1" applyFill="1" applyAlignment="1">
      <alignment horizontal="left" wrapText="1"/>
    </xf>
    <xf numFmtId="0" fontId="28" fillId="28" borderId="0" xfId="5" applyFont="1" applyFill="1" applyAlignment="1">
      <alignment vertical="top" wrapText="1"/>
    </xf>
    <xf numFmtId="0" fontId="61" fillId="28" borderId="0" xfId="5" applyFont="1" applyFill="1" applyAlignment="1">
      <alignment vertical="top" wrapText="1"/>
    </xf>
    <xf numFmtId="0" fontId="62" fillId="28" borderId="0" xfId="5" applyFont="1" applyFill="1" applyAlignment="1">
      <alignment vertical="top" wrapText="1"/>
    </xf>
    <xf numFmtId="0" fontId="63" fillId="28" borderId="0" xfId="5" applyFont="1" applyFill="1" applyAlignment="1">
      <alignment vertical="top" wrapText="1"/>
    </xf>
    <xf numFmtId="0" fontId="64" fillId="28" borderId="0" xfId="5" applyFont="1" applyFill="1" applyAlignment="1">
      <alignment vertical="top" wrapText="1"/>
    </xf>
    <xf numFmtId="0" fontId="65" fillId="28" borderId="0" xfId="5" applyFont="1" applyFill="1" applyAlignment="1">
      <alignment vertical="top" wrapText="1"/>
    </xf>
    <xf numFmtId="0" fontId="28" fillId="28" borderId="0" xfId="5" applyFont="1" applyFill="1" applyAlignment="1">
      <alignment wrapText="1"/>
    </xf>
    <xf numFmtId="0" fontId="48" fillId="28" borderId="0" xfId="5" applyFont="1" applyFill="1" applyAlignment="1">
      <alignment wrapText="1"/>
    </xf>
    <xf numFmtId="0" fontId="51" fillId="28" borderId="0" xfId="0" applyFont="1" applyFill="1" applyAlignment="1">
      <alignment vertical="top"/>
    </xf>
    <xf numFmtId="0" fontId="17" fillId="28" borderId="0" xfId="0" applyFont="1" applyFill="1" applyAlignment="1"/>
    <xf numFmtId="0" fontId="9" fillId="26" borderId="0" xfId="0" applyFont="1" applyFill="1"/>
    <xf numFmtId="0" fontId="18" fillId="28" borderId="0" xfId="0" applyFont="1" applyFill="1" applyAlignment="1">
      <alignment horizontal="left" vertical="top"/>
    </xf>
    <xf numFmtId="0" fontId="18" fillId="28" borderId="0" xfId="0" quotePrefix="1" applyFont="1" applyFill="1" applyAlignment="1">
      <alignment horizontal="left" vertical="top"/>
    </xf>
    <xf numFmtId="0" fontId="24" fillId="0" borderId="0" xfId="0" applyFont="1" applyAlignment="1">
      <alignment vertical="center"/>
    </xf>
    <xf numFmtId="0" fontId="9" fillId="4" borderId="0" xfId="0" applyFont="1" applyFill="1"/>
    <xf numFmtId="2" fontId="9" fillId="17" borderId="0" xfId="0" applyNumberFormat="1" applyFont="1" applyFill="1"/>
    <xf numFmtId="0" fontId="9" fillId="26" borderId="0" xfId="0" quotePrefix="1" applyFont="1" applyFill="1"/>
    <xf numFmtId="0" fontId="9" fillId="22" borderId="0" xfId="0" applyFont="1" applyFill="1"/>
    <xf numFmtId="0" fontId="24" fillId="0" borderId="0" xfId="0" applyFont="1" applyAlignment="1">
      <alignment horizontal="right" vertical="center"/>
    </xf>
    <xf numFmtId="0" fontId="51" fillId="28" borderId="0" xfId="0" applyFont="1" applyFill="1"/>
    <xf numFmtId="0" fontId="17" fillId="28" borderId="0" xfId="0" applyFont="1" applyFill="1"/>
    <xf numFmtId="0" fontId="9" fillId="26" borderId="0" xfId="0" applyFont="1" applyFill="1" applyAlignment="1">
      <alignment horizontal="center"/>
    </xf>
    <xf numFmtId="0" fontId="18" fillId="28" borderId="0" xfId="0" applyFont="1" applyFill="1" applyAlignment="1">
      <alignment vertical="top"/>
    </xf>
    <xf numFmtId="166" fontId="9" fillId="17" borderId="0" xfId="0" applyNumberFormat="1" applyFont="1" applyFill="1"/>
    <xf numFmtId="0" fontId="9" fillId="28" borderId="0" xfId="0" applyFont="1" applyFill="1" applyAlignment="1">
      <alignment vertical="center"/>
    </xf>
    <xf numFmtId="0" fontId="9" fillId="5" borderId="0" xfId="0" applyFont="1" applyFill="1"/>
    <xf numFmtId="1" fontId="9" fillId="17" borderId="0" xfId="0" applyNumberFormat="1" applyFont="1" applyFill="1"/>
    <xf numFmtId="2" fontId="9" fillId="16" borderId="0" xfId="0" applyNumberFormat="1" applyFont="1" applyFill="1"/>
    <xf numFmtId="0" fontId="18" fillId="28" borderId="0" xfId="0" applyFont="1" applyFill="1" applyAlignment="1">
      <alignment horizontal="left"/>
    </xf>
    <xf numFmtId="0" fontId="9" fillId="26" borderId="0" xfId="0" applyFont="1" applyFill="1" applyAlignment="1">
      <alignment wrapText="1"/>
    </xf>
    <xf numFmtId="2" fontId="9" fillId="9" borderId="0" xfId="0" applyNumberFormat="1" applyFont="1" applyFill="1"/>
    <xf numFmtId="0" fontId="24" fillId="0" borderId="0" xfId="0" applyFont="1" applyBorder="1" applyAlignment="1">
      <alignment vertical="center"/>
    </xf>
    <xf numFmtId="0" fontId="16" fillId="0" borderId="14" xfId="0" applyFont="1" applyBorder="1" applyAlignment="1">
      <alignment horizontal="right" vertical="center"/>
    </xf>
    <xf numFmtId="0" fontId="53" fillId="28" borderId="0" xfId="0" applyFont="1" applyFill="1" applyAlignment="1">
      <alignment horizontal="center" vertical="center"/>
    </xf>
    <xf numFmtId="0" fontId="16" fillId="0" borderId="13" xfId="0" applyFont="1" applyBorder="1" applyAlignment="1">
      <alignment horizontal="right" vertical="center"/>
    </xf>
    <xf numFmtId="0" fontId="51" fillId="28" borderId="0" xfId="0" applyFont="1" applyFill="1" applyAlignment="1">
      <alignment horizontal="right"/>
    </xf>
    <xf numFmtId="166" fontId="9" fillId="0" borderId="0" xfId="0" applyNumberFormat="1" applyFont="1"/>
    <xf numFmtId="0" fontId="17" fillId="28" borderId="0" xfId="0" applyFont="1" applyFill="1" applyAlignment="1">
      <alignment horizontal="left"/>
    </xf>
    <xf numFmtId="3" fontId="9" fillId="0" borderId="0" xfId="0" applyNumberFormat="1" applyFont="1"/>
    <xf numFmtId="0" fontId="9" fillId="3" borderId="0" xfId="0" applyFont="1" applyFill="1"/>
    <xf numFmtId="2" fontId="9" fillId="3" borderId="0" xfId="0" applyNumberFormat="1" applyFont="1" applyFill="1"/>
    <xf numFmtId="166" fontId="9" fillId="0" borderId="0" xfId="0" applyNumberFormat="1" applyFont="1" applyFill="1"/>
    <xf numFmtId="166" fontId="9" fillId="26" borderId="0" xfId="0" applyNumberFormat="1" applyFont="1" applyFill="1"/>
    <xf numFmtId="0" fontId="66" fillId="0" borderId="0" xfId="0" applyFont="1" applyBorder="1"/>
    <xf numFmtId="0" fontId="66" fillId="0" borderId="0" xfId="0" applyFont="1" applyFill="1" applyBorder="1"/>
    <xf numFmtId="0" fontId="9" fillId="12" borderId="0" xfId="0" applyFont="1" applyFill="1"/>
    <xf numFmtId="0" fontId="9" fillId="0" borderId="0" xfId="0" applyFont="1" applyBorder="1"/>
    <xf numFmtId="0" fontId="9" fillId="0" borderId="0" xfId="0" applyFont="1" applyFill="1" applyBorder="1"/>
    <xf numFmtId="0" fontId="9" fillId="28" borderId="0" xfId="0" applyFont="1" applyFill="1" applyAlignment="1">
      <alignment horizontal="center"/>
    </xf>
    <xf numFmtId="0" fontId="14" fillId="28" borderId="0" xfId="0" applyFont="1" applyFill="1" applyAlignment="1">
      <alignment horizontal="left" vertical="center"/>
    </xf>
    <xf numFmtId="0" fontId="9" fillId="28" borderId="0" xfId="0" applyFont="1" applyFill="1" applyAlignment="1">
      <alignment horizontal="right"/>
    </xf>
    <xf numFmtId="0" fontId="66" fillId="0" borderId="0" xfId="0" applyFont="1"/>
    <xf numFmtId="0" fontId="9" fillId="24" borderId="0" xfId="0" applyFont="1" applyFill="1" applyAlignment="1"/>
    <xf numFmtId="0" fontId="9" fillId="23" borderId="0" xfId="0" applyFont="1" applyFill="1"/>
    <xf numFmtId="0" fontId="9" fillId="29" borderId="0" xfId="0" applyFont="1" applyFill="1" applyBorder="1" applyAlignment="1">
      <alignment horizontal="center" vertical="center"/>
    </xf>
    <xf numFmtId="0" fontId="9" fillId="29" borderId="22" xfId="0" applyFont="1" applyFill="1" applyBorder="1" applyAlignment="1">
      <alignment horizontal="center" vertical="center"/>
    </xf>
    <xf numFmtId="0" fontId="9" fillId="28" borderId="0" xfId="0" applyFont="1" applyFill="1" applyBorder="1"/>
    <xf numFmtId="0" fontId="9" fillId="0" borderId="23" xfId="0" applyFont="1" applyFill="1" applyBorder="1"/>
    <xf numFmtId="0" fontId="9" fillId="0" borderId="17" xfId="0" applyFont="1" applyFill="1" applyBorder="1" applyAlignment="1">
      <alignment horizontal="right" wrapText="1"/>
    </xf>
    <xf numFmtId="0" fontId="9" fillId="0" borderId="1" xfId="0" applyFont="1" applyFill="1" applyBorder="1"/>
    <xf numFmtId="0" fontId="9" fillId="0" borderId="16" xfId="0" applyFont="1" applyFill="1" applyBorder="1" applyAlignment="1">
      <alignment wrapText="1"/>
    </xf>
    <xf numFmtId="0" fontId="9" fillId="0" borderId="18" xfId="0" applyFont="1" applyFill="1" applyBorder="1" applyAlignment="1">
      <alignment horizontal="right"/>
    </xf>
    <xf numFmtId="0" fontId="9" fillId="0" borderId="19" xfId="0" applyFont="1" applyFill="1" applyBorder="1"/>
    <xf numFmtId="0" fontId="9" fillId="0" borderId="20" xfId="0" applyFont="1" applyFill="1" applyBorder="1"/>
    <xf numFmtId="0" fontId="9" fillId="0" borderId="0" xfId="0" applyFont="1" applyAlignment="1">
      <alignment horizontal="left"/>
    </xf>
    <xf numFmtId="0" fontId="9" fillId="16" borderId="0" xfId="0" applyFont="1" applyFill="1" applyAlignment="1">
      <alignment horizontal="right"/>
    </xf>
    <xf numFmtId="1" fontId="9" fillId="20" borderId="0" xfId="0" applyNumberFormat="1" applyFont="1" applyFill="1" applyAlignment="1">
      <alignment horizontal="center"/>
    </xf>
    <xf numFmtId="164" fontId="9" fillId="0" borderId="0" xfId="0" applyNumberFormat="1" applyFont="1" applyFill="1"/>
    <xf numFmtId="1" fontId="9" fillId="0" borderId="0" xfId="0" applyNumberFormat="1" applyFont="1"/>
    <xf numFmtId="164" fontId="9" fillId="0" borderId="0" xfId="0" applyNumberFormat="1" applyFont="1"/>
    <xf numFmtId="1" fontId="9" fillId="16" borderId="0" xfId="0" applyNumberFormat="1" applyFont="1" applyFill="1"/>
    <xf numFmtId="0" fontId="9" fillId="18" borderId="0" xfId="0" applyFont="1" applyFill="1" applyBorder="1" applyAlignment="1">
      <alignment horizontal="right"/>
    </xf>
    <xf numFmtId="0" fontId="9" fillId="29" borderId="24" xfId="0" applyFont="1" applyFill="1" applyBorder="1" applyAlignment="1">
      <alignment horizontal="center" vertical="center"/>
    </xf>
    <xf numFmtId="0" fontId="9" fillId="15" borderId="24" xfId="0" applyFont="1" applyFill="1" applyBorder="1" applyAlignment="1">
      <alignment horizontal="center" vertical="center"/>
    </xf>
    <xf numFmtId="0" fontId="9" fillId="28" borderId="0" xfId="0" applyFont="1" applyFill="1" applyAlignment="1">
      <alignment horizontal="left"/>
    </xf>
    <xf numFmtId="0" fontId="69" fillId="28" borderId="0" xfId="5" applyFont="1" applyFill="1" applyAlignment="1">
      <alignment horizontal="right" indent="1"/>
    </xf>
    <xf numFmtId="0" fontId="60" fillId="28" borderId="0" xfId="5" applyFont="1" applyFill="1" applyAlignment="1">
      <alignment wrapText="1"/>
    </xf>
    <xf numFmtId="0" fontId="0" fillId="29" borderId="24" xfId="0" applyFont="1" applyFill="1" applyBorder="1" applyAlignment="1">
      <alignment horizontal="center" vertical="center"/>
    </xf>
    <xf numFmtId="0" fontId="0" fillId="15" borderId="24" xfId="0" applyFont="1" applyFill="1" applyBorder="1" applyAlignment="1">
      <alignment horizontal="center" vertical="center"/>
    </xf>
    <xf numFmtId="0" fontId="9" fillId="16" borderId="0" xfId="0" applyFont="1" applyFill="1" applyBorder="1" applyAlignment="1">
      <alignment horizontal="center" vertical="center"/>
    </xf>
    <xf numFmtId="164" fontId="42" fillId="30" borderId="21" xfId="0" applyNumberFormat="1" applyFont="1" applyFill="1" applyBorder="1" applyAlignment="1">
      <alignment horizontal="center" vertical="center"/>
    </xf>
    <xf numFmtId="164" fontId="14" fillId="30" borderId="21" xfId="0" applyNumberFormat="1" applyFont="1" applyFill="1" applyBorder="1" applyAlignment="1">
      <alignment horizontal="center" vertical="center"/>
    </xf>
    <xf numFmtId="164" fontId="48" fillId="15" borderId="21" xfId="0" applyNumberFormat="1" applyFont="1" applyFill="1" applyBorder="1" applyAlignment="1">
      <alignment horizontal="center" vertical="center"/>
    </xf>
    <xf numFmtId="0" fontId="14" fillId="16" borderId="21" xfId="0" applyFont="1" applyFill="1" applyBorder="1" applyAlignment="1">
      <alignment horizontal="center" vertical="center"/>
    </xf>
    <xf numFmtId="0" fontId="24" fillId="16" borderId="0" xfId="0" applyFont="1" applyFill="1" applyAlignment="1">
      <alignment horizontal="center" vertical="center"/>
    </xf>
    <xf numFmtId="0" fontId="18" fillId="28" borderId="0" xfId="0" applyFont="1" applyFill="1" applyBorder="1" applyAlignment="1">
      <alignment horizontal="left" vertical="center" wrapText="1"/>
    </xf>
    <xf numFmtId="0" fontId="18" fillId="0" borderId="0" xfId="0" applyFont="1" applyAlignment="1"/>
    <xf numFmtId="0" fontId="9" fillId="29" borderId="0" xfId="0" applyFont="1" applyFill="1" applyBorder="1" applyAlignment="1">
      <alignment horizontal="center" vertical="center"/>
    </xf>
    <xf numFmtId="0" fontId="9" fillId="0" borderId="0" xfId="0" applyFont="1" applyAlignment="1">
      <alignment horizontal="center" vertical="center"/>
    </xf>
    <xf numFmtId="0" fontId="9" fillId="28" borderId="0" xfId="0" applyFont="1" applyFill="1" applyAlignment="1">
      <alignment horizontal="left" wrapText="1"/>
    </xf>
    <xf numFmtId="0" fontId="9" fillId="0" borderId="0" xfId="0" applyFont="1" applyAlignment="1"/>
    <xf numFmtId="164" fontId="50" fillId="30" borderId="22" xfId="0" applyNumberFormat="1" applyFont="1" applyFill="1" applyBorder="1" applyAlignment="1">
      <alignment horizontal="center" vertical="center"/>
    </xf>
    <xf numFmtId="0" fontId="9" fillId="30" borderId="25" xfId="0" applyFont="1" applyFill="1" applyBorder="1" applyAlignment="1"/>
    <xf numFmtId="0" fontId="18" fillId="28" borderId="0" xfId="0" applyFont="1" applyFill="1" applyAlignment="1">
      <alignment horizontal="center" vertical="top" wrapText="1"/>
    </xf>
    <xf numFmtId="0" fontId="24" fillId="29" borderId="0" xfId="0" applyFont="1" applyFill="1" applyBorder="1" applyAlignment="1">
      <alignment horizontal="center" vertical="center"/>
    </xf>
    <xf numFmtId="0" fontId="30" fillId="28" borderId="0" xfId="0" applyFont="1" applyFill="1" applyAlignment="1">
      <alignment horizontal="left" wrapText="1"/>
    </xf>
    <xf numFmtId="0" fontId="0" fillId="28" borderId="0" xfId="0" applyFill="1" applyAlignment="1">
      <alignment wrapText="1"/>
    </xf>
    <xf numFmtId="0" fontId="9" fillId="28" borderId="0" xfId="0" applyFont="1" applyFill="1" applyAlignment="1">
      <alignment wrapText="1"/>
    </xf>
    <xf numFmtId="0" fontId="0" fillId="28" borderId="0" xfId="0" applyFont="1" applyFill="1" applyAlignment="1">
      <alignment wrapText="1"/>
    </xf>
    <xf numFmtId="0" fontId="0" fillId="28" borderId="0" xfId="0" applyFill="1" applyAlignment="1">
      <alignment horizontal="left" wrapText="1"/>
    </xf>
    <xf numFmtId="0" fontId="36" fillId="0" borderId="0" xfId="0" applyFont="1" applyAlignment="1">
      <alignment vertical="center"/>
    </xf>
    <xf numFmtId="0" fontId="0" fillId="0" borderId="0" xfId="0" applyAlignment="1">
      <alignment vertical="center"/>
    </xf>
    <xf numFmtId="0" fontId="32" fillId="0" borderId="0" xfId="0" applyFont="1" applyAlignment="1">
      <alignment horizontal="left" vertical="center" wrapText="1"/>
    </xf>
    <xf numFmtId="0" fontId="0" fillId="0" borderId="0" xfId="0" applyAlignment="1">
      <alignment horizontal="left" vertical="center" wrapText="1"/>
    </xf>
    <xf numFmtId="0" fontId="36" fillId="0" borderId="0" xfId="0" applyFont="1" applyFill="1" applyAlignment="1">
      <alignment vertical="center"/>
    </xf>
    <xf numFmtId="10" fontId="13" fillId="0" borderId="0" xfId="0" applyNumberFormat="1" applyFont="1" applyBorder="1" applyAlignment="1">
      <alignment vertical="center" wrapText="1"/>
    </xf>
    <xf numFmtId="0" fontId="32" fillId="0" borderId="0" xfId="0" applyFont="1" applyAlignment="1">
      <alignment horizontal="right" vertical="center" wrapText="1"/>
    </xf>
    <xf numFmtId="0" fontId="33" fillId="0" borderId="0" xfId="0" applyFont="1" applyAlignment="1">
      <alignment horizontal="right" vertical="center" wrapText="1"/>
    </xf>
    <xf numFmtId="0" fontId="36" fillId="0" borderId="0" xfId="0" applyFont="1" applyAlignment="1">
      <alignment horizontal="left" vertical="center" wrapText="1"/>
    </xf>
    <xf numFmtId="0" fontId="38" fillId="0" borderId="0" xfId="0" applyFont="1" applyAlignment="1">
      <alignment horizontal="left" vertical="center" wrapText="1"/>
    </xf>
    <xf numFmtId="0" fontId="0" fillId="0" borderId="0" xfId="0" applyAlignment="1">
      <alignment horizontal="right" vertical="center" wrapText="1"/>
    </xf>
    <xf numFmtId="0" fontId="36" fillId="0" borderId="0" xfId="0" applyFont="1" applyAlignment="1">
      <alignment vertical="center" wrapText="1"/>
    </xf>
    <xf numFmtId="0" fontId="0" fillId="0" borderId="0" xfId="0" applyAlignment="1">
      <alignment vertical="center" wrapText="1"/>
    </xf>
    <xf numFmtId="0" fontId="36" fillId="0" borderId="0" xfId="0" applyFont="1" applyAlignment="1">
      <alignment horizontal="left" vertical="center"/>
    </xf>
  </cellXfs>
  <cellStyles count="6">
    <cellStyle name="20% - Accent1" xfId="5" builtinId="30"/>
    <cellStyle name="Comma" xfId="1" builtinId="3"/>
    <cellStyle name="Hyperlink" xfId="2" builtinId="8"/>
    <cellStyle name="Normal" xfId="0" builtinId="0"/>
    <cellStyle name="Normal_5 Tables raw" xfId="3"/>
    <cellStyle name="Normal_5. Social tables" xfId="4"/>
  </cellStyles>
  <dxfs count="0"/>
  <tableStyles count="0" defaultTableStyle="TableStyleMedium2" defaultPivotStyle="PivotStyleLight16"/>
  <colors>
    <mruColors>
      <color rgb="FFCC0000"/>
      <color rgb="FF33CCFF"/>
      <color rgb="FF00FFFF"/>
      <color rgb="FF800000"/>
      <color rgb="FF663300"/>
      <color rgb="FFFF33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311922894884042"/>
          <c:y val="0.17428356974503872"/>
          <c:w val="0.49695283653573696"/>
          <c:h val="0.72074121882305742"/>
        </c:manualLayout>
      </c:layout>
      <c:barChart>
        <c:barDir val="col"/>
        <c:grouping val="stacked"/>
        <c:varyColors val="0"/>
        <c:ser>
          <c:idx val="6"/>
          <c:order val="0"/>
          <c:tx>
            <c:strRef>
              <c:f>'Your Elephant'!$B$12</c:f>
              <c:strCache>
                <c:ptCount val="1"/>
                <c:pt idx="0">
                  <c:v>NE</c:v>
                </c:pt>
              </c:strCache>
            </c:strRef>
          </c:tx>
          <c:invertIfNegative val="0"/>
          <c:cat>
            <c:strRef>
              <c:f>'Your Elephant'!$D$5:$E$5</c:f>
              <c:strCache>
                <c:ptCount val="2"/>
                <c:pt idx="0">
                  <c:v>YOUR CHOICES</c:v>
                </c:pt>
                <c:pt idx="1">
                  <c:v>AVERAGE</c:v>
                </c:pt>
              </c:strCache>
            </c:strRef>
          </c:cat>
          <c:val>
            <c:numRef>
              <c:f>'Your Elephant'!$D$12:$E$12</c:f>
              <c:numCache>
                <c:formatCode>0.0</c:formatCode>
                <c:ptCount val="2"/>
                <c:pt idx="0">
                  <c:v>0</c:v>
                </c:pt>
                <c:pt idx="1">
                  <c:v>0</c:v>
                </c:pt>
              </c:numCache>
            </c:numRef>
          </c:val>
        </c:ser>
        <c:ser>
          <c:idx val="5"/>
          <c:order val="1"/>
          <c:tx>
            <c:strRef>
              <c:f>'Your Elephant'!$B$11</c:f>
              <c:strCache>
                <c:ptCount val="1"/>
                <c:pt idx="0">
                  <c:v>PS</c:v>
                </c:pt>
              </c:strCache>
            </c:strRef>
          </c:tx>
          <c:spPr>
            <a:gradFill flip="none" rotWithShape="1">
              <a:gsLst>
                <a:gs pos="0">
                  <a:schemeClr val="tx1">
                    <a:lumMod val="85000"/>
                    <a:lumOff val="15000"/>
                    <a:tint val="66000"/>
                    <a:satMod val="160000"/>
                  </a:schemeClr>
                </a:gs>
                <a:gs pos="50000">
                  <a:schemeClr val="tx1">
                    <a:lumMod val="85000"/>
                    <a:lumOff val="15000"/>
                    <a:tint val="44500"/>
                    <a:satMod val="160000"/>
                  </a:schemeClr>
                </a:gs>
                <a:gs pos="100000">
                  <a:schemeClr val="tx1">
                    <a:lumMod val="85000"/>
                    <a:lumOff val="15000"/>
                    <a:tint val="23500"/>
                    <a:satMod val="160000"/>
                  </a:schemeClr>
                </a:gs>
              </a:gsLst>
              <a:lin ang="0" scaled="1"/>
              <a:tileRect/>
            </a:gradFill>
          </c:spPr>
          <c:invertIfNegative val="0"/>
          <c:cat>
            <c:strRef>
              <c:f>'Your Elephant'!$D$5:$E$5</c:f>
              <c:strCache>
                <c:ptCount val="2"/>
                <c:pt idx="0">
                  <c:v>YOUR CHOICES</c:v>
                </c:pt>
                <c:pt idx="1">
                  <c:v>AVERAGE</c:v>
                </c:pt>
              </c:strCache>
            </c:strRef>
          </c:cat>
          <c:val>
            <c:numRef>
              <c:f>'Your Elephant'!$D$11:$E$11</c:f>
              <c:numCache>
                <c:formatCode>0.0</c:formatCode>
                <c:ptCount val="2"/>
                <c:pt idx="0">
                  <c:v>2.6304347826086958</c:v>
                </c:pt>
                <c:pt idx="1">
                  <c:v>2.6304347826086958</c:v>
                </c:pt>
              </c:numCache>
            </c:numRef>
          </c:val>
        </c:ser>
        <c:ser>
          <c:idx val="4"/>
          <c:order val="2"/>
          <c:tx>
            <c:strRef>
              <c:f>'Your Elephant'!$B$10</c:f>
              <c:strCache>
                <c:ptCount val="1"/>
                <c:pt idx="0">
                  <c:v>G&amp;S</c:v>
                </c:pt>
              </c:strCache>
            </c:strRef>
          </c:tx>
          <c:spPr>
            <a:gradFill flip="none" rotWithShape="1">
              <a:gsLst>
                <a:gs pos="0">
                  <a:schemeClr val="accent5">
                    <a:shade val="30000"/>
                    <a:satMod val="115000"/>
                    <a:lumMod val="80000"/>
                  </a:schemeClr>
                </a:gs>
                <a:gs pos="50000">
                  <a:schemeClr val="accent5">
                    <a:lumMod val="75000"/>
                    <a:shade val="67500"/>
                    <a:satMod val="115000"/>
                  </a:schemeClr>
                </a:gs>
                <a:gs pos="100000">
                  <a:schemeClr val="accent5">
                    <a:lumMod val="75000"/>
                    <a:shade val="100000"/>
                    <a:satMod val="115000"/>
                  </a:schemeClr>
                </a:gs>
              </a:gsLst>
              <a:lin ang="0" scaled="1"/>
              <a:tileRect/>
            </a:gradFill>
          </c:spPr>
          <c:invertIfNegative val="0"/>
          <c:cat>
            <c:strRef>
              <c:f>'Your Elephant'!$D$5:$E$5</c:f>
              <c:strCache>
                <c:ptCount val="2"/>
                <c:pt idx="0">
                  <c:v>YOUR CHOICES</c:v>
                </c:pt>
                <c:pt idx="1">
                  <c:v>AVERAGE</c:v>
                </c:pt>
              </c:strCache>
            </c:strRef>
          </c:cat>
          <c:val>
            <c:numRef>
              <c:f>'Your Elephant'!$D$10:$E$10</c:f>
              <c:numCache>
                <c:formatCode>0.0</c:formatCode>
                <c:ptCount val="2"/>
                <c:pt idx="0">
                  <c:v>4.3250000000000002</c:v>
                </c:pt>
                <c:pt idx="1">
                  <c:v>4.34</c:v>
                </c:pt>
              </c:numCache>
            </c:numRef>
          </c:val>
        </c:ser>
        <c:ser>
          <c:idx val="3"/>
          <c:order val="3"/>
          <c:tx>
            <c:strRef>
              <c:f>'Your Elephant'!$B$9</c:f>
              <c:strCache>
                <c:ptCount val="1"/>
                <c:pt idx="0">
                  <c:v>F</c:v>
                </c:pt>
              </c:strCache>
            </c:strRef>
          </c:tx>
          <c:spPr>
            <a:gradFill flip="none" rotWithShape="1">
              <a:gsLst>
                <a:gs pos="0">
                  <a:srgbClr val="00B050">
                    <a:shade val="30000"/>
                    <a:satMod val="115000"/>
                    <a:lumMod val="95000"/>
                    <a:lumOff val="5000"/>
                  </a:srgbClr>
                </a:gs>
                <a:gs pos="50000">
                  <a:srgbClr val="00B050">
                    <a:shade val="67500"/>
                    <a:satMod val="115000"/>
                  </a:srgbClr>
                </a:gs>
                <a:gs pos="100000">
                  <a:srgbClr val="00B05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Elephant'!$D$9:$E$9</c:f>
              <c:numCache>
                <c:formatCode>0.0</c:formatCode>
                <c:ptCount val="2"/>
                <c:pt idx="0">
                  <c:v>0.4596159999999998</c:v>
                </c:pt>
                <c:pt idx="1">
                  <c:v>3.05</c:v>
                </c:pt>
              </c:numCache>
            </c:numRef>
          </c:val>
        </c:ser>
        <c:ser>
          <c:idx val="2"/>
          <c:order val="4"/>
          <c:tx>
            <c:strRef>
              <c:f>'Your Elephant'!$B$8</c:f>
              <c:strCache>
                <c:ptCount val="1"/>
                <c:pt idx="0">
                  <c:v>FLY</c:v>
                </c:pt>
              </c:strCache>
            </c:strRef>
          </c:tx>
          <c:spPr>
            <a:gradFill flip="none" rotWithShape="1">
              <a:gsLst>
                <a:gs pos="0">
                  <a:srgbClr val="FFFF00">
                    <a:shade val="30000"/>
                    <a:satMod val="115000"/>
                    <a:lumMod val="90000"/>
                    <a:lumOff val="10000"/>
                  </a:srgbClr>
                </a:gs>
                <a:gs pos="50000">
                  <a:srgbClr val="FFFF00">
                    <a:shade val="67500"/>
                    <a:satMod val="115000"/>
                  </a:srgbClr>
                </a:gs>
                <a:gs pos="100000">
                  <a:srgbClr val="FFFF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Elephant'!$D$8:$E$8</c:f>
              <c:numCache>
                <c:formatCode>0.0</c:formatCode>
                <c:ptCount val="2"/>
                <c:pt idx="0">
                  <c:v>0.79799999999999993</c:v>
                </c:pt>
                <c:pt idx="1">
                  <c:v>0.78</c:v>
                </c:pt>
              </c:numCache>
            </c:numRef>
          </c:val>
        </c:ser>
        <c:ser>
          <c:idx val="1"/>
          <c:order val="5"/>
          <c:tx>
            <c:strRef>
              <c:f>'Your Elephant'!$B$7</c:f>
              <c:strCache>
                <c:ptCount val="1"/>
                <c:pt idx="0">
                  <c:v>TRA</c:v>
                </c:pt>
              </c:strCache>
            </c:strRef>
          </c:tx>
          <c:spPr>
            <a:gradFill flip="none" rotWithShape="1">
              <a:gsLst>
                <a:gs pos="0">
                  <a:srgbClr val="FFC000">
                    <a:shade val="30000"/>
                    <a:satMod val="115000"/>
                    <a:lumMod val="95000"/>
                    <a:lumOff val="5000"/>
                  </a:srgbClr>
                </a:gs>
                <a:gs pos="50000">
                  <a:srgbClr val="FFC000">
                    <a:shade val="67500"/>
                    <a:satMod val="115000"/>
                  </a:srgbClr>
                </a:gs>
                <a:gs pos="100000">
                  <a:srgbClr val="FFC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Elephant'!$D$7:$E$7</c:f>
              <c:numCache>
                <c:formatCode>0.0</c:formatCode>
                <c:ptCount val="2"/>
                <c:pt idx="0">
                  <c:v>2.4538434782608691</c:v>
                </c:pt>
                <c:pt idx="1">
                  <c:v>2.59</c:v>
                </c:pt>
              </c:numCache>
            </c:numRef>
          </c:val>
        </c:ser>
        <c:ser>
          <c:idx val="0"/>
          <c:order val="6"/>
          <c:tx>
            <c:strRef>
              <c:f>'Your Elephant'!$B$6</c:f>
              <c:strCache>
                <c:ptCount val="1"/>
                <c:pt idx="0">
                  <c:v>HE</c:v>
                </c:pt>
              </c:strCache>
            </c:strRef>
          </c:tx>
          <c:spPr>
            <a:gradFill flip="none" rotWithShape="1">
              <a:gsLst>
                <a:gs pos="0">
                  <a:srgbClr val="CC0000">
                    <a:shade val="30000"/>
                    <a:satMod val="115000"/>
                    <a:lumMod val="95000"/>
                    <a:lumOff val="5000"/>
                  </a:srgbClr>
                </a:gs>
                <a:gs pos="50000">
                  <a:srgbClr val="CC0000">
                    <a:shade val="67500"/>
                    <a:satMod val="115000"/>
                  </a:srgbClr>
                </a:gs>
                <a:gs pos="100000">
                  <a:srgbClr val="CC0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Elephant'!$D$6:$E$6</c:f>
              <c:numCache>
                <c:formatCode>0.0</c:formatCode>
                <c:ptCount val="2"/>
                <c:pt idx="0">
                  <c:v>2.4424325217391307</c:v>
                </c:pt>
                <c:pt idx="1">
                  <c:v>2.4700000000000002</c:v>
                </c:pt>
              </c:numCache>
            </c:numRef>
          </c:val>
        </c:ser>
        <c:dLbls>
          <c:showLegendKey val="0"/>
          <c:showVal val="0"/>
          <c:showCatName val="0"/>
          <c:showSerName val="0"/>
          <c:showPercent val="0"/>
          <c:showBubbleSize val="0"/>
        </c:dLbls>
        <c:gapWidth val="70"/>
        <c:overlap val="100"/>
        <c:axId val="84940288"/>
        <c:axId val="84941824"/>
      </c:barChart>
      <c:catAx>
        <c:axId val="84940288"/>
        <c:scaling>
          <c:orientation val="minMax"/>
        </c:scaling>
        <c:delete val="0"/>
        <c:axPos val="b"/>
        <c:numFmt formatCode="General" sourceLinked="0"/>
        <c:majorTickMark val="out"/>
        <c:minorTickMark val="none"/>
        <c:tickLblPos val="nextTo"/>
        <c:crossAx val="84941824"/>
        <c:crosses val="autoZero"/>
        <c:auto val="1"/>
        <c:lblAlgn val="ctr"/>
        <c:lblOffset val="100"/>
        <c:noMultiLvlLbl val="0"/>
      </c:catAx>
      <c:valAx>
        <c:axId val="84941824"/>
        <c:scaling>
          <c:orientation val="minMax"/>
        </c:scaling>
        <c:delete val="0"/>
        <c:axPos val="l"/>
        <c:title>
          <c:tx>
            <c:rich>
              <a:bodyPr rot="-5400000" vert="horz"/>
              <a:lstStyle/>
              <a:p>
                <a:pPr>
                  <a:defRPr b="0"/>
                </a:pPr>
                <a:r>
                  <a:rPr lang="en-US" b="0"/>
                  <a:t>PERSONAL CARBON FOOTPRINT, TONNES CO2E PER YEAR</a:t>
                </a:r>
              </a:p>
            </c:rich>
          </c:tx>
          <c:layout>
            <c:manualLayout>
              <c:xMode val="edge"/>
              <c:yMode val="edge"/>
              <c:x val="5.6876382255496759E-2"/>
              <c:y val="0.28468042587572739"/>
            </c:manualLayout>
          </c:layout>
          <c:overlay val="0"/>
        </c:title>
        <c:numFmt formatCode="0" sourceLinked="0"/>
        <c:majorTickMark val="out"/>
        <c:minorTickMark val="none"/>
        <c:tickLblPos val="nextTo"/>
        <c:crossAx val="84940288"/>
        <c:crosses val="autoZero"/>
        <c:crossBetween val="between"/>
      </c:valAx>
      <c:spPr>
        <a:noFill/>
      </c:spPr>
    </c:plotArea>
    <c:legend>
      <c:legendPos val="r"/>
      <c:layout>
        <c:manualLayout>
          <c:xMode val="edge"/>
          <c:yMode val="edge"/>
          <c:x val="0.83343711544253674"/>
          <c:y val="0.36641817254857539"/>
          <c:w val="0.16322189234542409"/>
          <c:h val="0.2685822468912698"/>
        </c:manualLayout>
      </c:layout>
      <c:overlay val="0"/>
      <c:txPr>
        <a:bodyPr/>
        <a:lstStyle/>
        <a:p>
          <a:pPr>
            <a:defRPr sz="1100">
              <a:latin typeface="Calibri Light" panose="020F0302020204030204" pitchFamily="34" charset="0"/>
            </a:defRPr>
          </a:pPr>
          <a:endParaRPr lang="en-U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'Your Elephant'!$S$6</c:f>
              <c:strCache>
                <c:ptCount val="1"/>
                <c:pt idx="0">
                  <c:v>Public services and infrastructure</c:v>
                </c:pt>
              </c:strCache>
            </c:strRef>
          </c:tx>
          <c:spPr>
            <a:solidFill>
              <a:schemeClr val="tx1"/>
            </a:solidFill>
          </c:spPr>
          <c:invertIfNegative val="0"/>
          <c:val>
            <c:numRef>
              <c:f>'Your Elephant'!$U$6:$V$6</c:f>
              <c:numCache>
                <c:formatCode>0.00</c:formatCode>
                <c:ptCount val="2"/>
                <c:pt idx="0">
                  <c:v>2.6223939165600409</c:v>
                </c:pt>
                <c:pt idx="1">
                  <c:v>2.6304347826086958</c:v>
                </c:pt>
              </c:numCache>
            </c:numRef>
          </c:val>
        </c:ser>
        <c:ser>
          <c:idx val="1"/>
          <c:order val="1"/>
          <c:tx>
            <c:strRef>
              <c:f>'Your Elephant'!$S$7</c:f>
              <c:strCache>
                <c:ptCount val="1"/>
                <c:pt idx="0">
                  <c:v>Business Sector and Investment</c:v>
                </c:pt>
              </c:strCache>
            </c:strRef>
          </c:tx>
          <c:spPr>
            <a:solidFill>
              <a:srgbClr val="6E8090"/>
            </a:solidFill>
          </c:spPr>
          <c:invertIfNegative val="0"/>
          <c:val>
            <c:numRef>
              <c:f>'Your Elephant'!$U$7:$V$7</c:f>
              <c:numCache>
                <c:formatCode>0.00</c:formatCode>
                <c:ptCount val="2"/>
                <c:pt idx="0">
                  <c:v>1.6442582438798368</c:v>
                </c:pt>
                <c:pt idx="1">
                  <c:v>1.5869565217391306</c:v>
                </c:pt>
              </c:numCache>
            </c:numRef>
          </c:val>
        </c:ser>
        <c:ser>
          <c:idx val="2"/>
          <c:order val="2"/>
          <c:tx>
            <c:strRef>
              <c:f>ELEPHANT!#REF!</c:f>
              <c:strCache>
                <c:ptCount val="1"/>
                <c:pt idx="0">
                  <c:v>#REF!</c:v>
                </c:pt>
              </c:strCache>
            </c:strRef>
          </c:tx>
          <c:spPr>
            <a:solidFill>
              <a:schemeClr val="tx2">
                <a:lumMod val="40000"/>
                <a:lumOff val="60000"/>
              </a:schemeClr>
            </a:solidFill>
          </c:spPr>
          <c:invertIfNegative val="0"/>
          <c:val>
            <c:numRef>
              <c:f>ELEPHANT!#REF!</c:f>
              <c:numCache>
                <c:formatCode>General</c:formatCode>
                <c:ptCount val="1"/>
                <c:pt idx="0">
                  <c:v>1</c:v>
                </c:pt>
              </c:numCache>
            </c:numRef>
          </c:val>
        </c:ser>
        <c:ser>
          <c:idx val="3"/>
          <c:order val="3"/>
          <c:tx>
            <c:strRef>
              <c:f>ELEPHANT!#REF!</c:f>
              <c:strCache>
                <c:ptCount val="1"/>
                <c:pt idx="0">
                  <c:v>#REF!</c:v>
                </c:pt>
              </c:strCache>
            </c:strRef>
          </c:tx>
          <c:spPr>
            <a:solidFill>
              <a:schemeClr val="accent1">
                <a:lumMod val="50000"/>
              </a:schemeClr>
            </a:solidFill>
          </c:spPr>
          <c:invertIfNegative val="0"/>
          <c:val>
            <c:numRef>
              <c:f>ELEPHANT!#REF!</c:f>
              <c:numCache>
                <c:formatCode>General</c:formatCode>
                <c:ptCount val="1"/>
                <c:pt idx="0">
                  <c:v>1</c:v>
                </c:pt>
              </c:numCache>
            </c:numRef>
          </c:val>
        </c:ser>
        <c:ser>
          <c:idx val="4"/>
          <c:order val="4"/>
          <c:tx>
            <c:strRef>
              <c:f>'Your Elephant'!$S$8</c:f>
              <c:strCache>
                <c:ptCount val="1"/>
                <c:pt idx="0">
                  <c:v>Food waste</c:v>
                </c:pt>
              </c:strCache>
            </c:strRef>
          </c:tx>
          <c:spPr>
            <a:solidFill>
              <a:schemeClr val="accent3">
                <a:lumMod val="60000"/>
                <a:lumOff val="40000"/>
              </a:schemeClr>
            </a:solidFill>
          </c:spPr>
          <c:invertIfNegative val="0"/>
          <c:val>
            <c:numRef>
              <c:f>'Your Elephant'!$U$8:$V$8</c:f>
              <c:numCache>
                <c:formatCode>General</c:formatCode>
                <c:ptCount val="2"/>
                <c:pt idx="0" formatCode="0.00">
                  <c:v>0</c:v>
                </c:pt>
                <c:pt idx="1">
                  <c:v>0.33</c:v>
                </c:pt>
              </c:numCache>
            </c:numRef>
          </c:val>
        </c:ser>
        <c:ser>
          <c:idx val="5"/>
          <c:order val="5"/>
          <c:tx>
            <c:strRef>
              <c:f>'Your Elephant'!$S$9</c:f>
              <c:strCache>
                <c:ptCount val="1"/>
                <c:pt idx="0">
                  <c:v>Food Processing</c:v>
                </c:pt>
              </c:strCache>
            </c:strRef>
          </c:tx>
          <c:spPr>
            <a:solidFill>
              <a:schemeClr val="accent3">
                <a:lumMod val="75000"/>
              </a:schemeClr>
            </a:solidFill>
          </c:spPr>
          <c:invertIfNegative val="0"/>
          <c:val>
            <c:numRef>
              <c:f>'Your Elephant'!$U$9:$V$9</c:f>
              <c:numCache>
                <c:formatCode>0.00</c:formatCode>
                <c:ptCount val="2"/>
                <c:pt idx="0">
                  <c:v>0</c:v>
                </c:pt>
                <c:pt idx="1">
                  <c:v>1.05</c:v>
                </c:pt>
              </c:numCache>
            </c:numRef>
          </c:val>
        </c:ser>
        <c:ser>
          <c:idx val="6"/>
          <c:order val="6"/>
          <c:tx>
            <c:strRef>
              <c:f>'Your Elephant'!$S$10</c:f>
              <c:strCache>
                <c:ptCount val="1"/>
                <c:pt idx="0">
                  <c:v>Farming</c:v>
                </c:pt>
              </c:strCache>
            </c:strRef>
          </c:tx>
          <c:spPr>
            <a:solidFill>
              <a:schemeClr val="accent3">
                <a:lumMod val="50000"/>
              </a:schemeClr>
            </a:solidFill>
          </c:spPr>
          <c:invertIfNegative val="0"/>
          <c:val>
            <c:numRef>
              <c:f>'Your Elephant'!$U$10:$V$10</c:f>
              <c:numCache>
                <c:formatCode>0.00</c:formatCode>
                <c:ptCount val="2"/>
                <c:pt idx="0">
                  <c:v>0</c:v>
                </c:pt>
                <c:pt idx="1">
                  <c:v>1.62</c:v>
                </c:pt>
              </c:numCache>
            </c:numRef>
          </c:val>
        </c:ser>
        <c:ser>
          <c:idx val="7"/>
          <c:order val="7"/>
          <c:tx>
            <c:strRef>
              <c:f>'Your Elephant'!$S$11</c:f>
              <c:strCache>
                <c:ptCount val="1"/>
                <c:pt idx="0">
                  <c:v>Flying</c:v>
                </c:pt>
              </c:strCache>
            </c:strRef>
          </c:tx>
          <c:spPr>
            <a:solidFill>
              <a:srgbClr val="FFFF00"/>
            </a:solidFill>
          </c:spPr>
          <c:invertIfNegative val="0"/>
          <c:val>
            <c:numRef>
              <c:f>'Your Elephant'!$U$11:$V$11</c:f>
              <c:numCache>
                <c:formatCode>0.00</c:formatCode>
                <c:ptCount val="2"/>
                <c:pt idx="0">
                  <c:v>0.78260869565217395</c:v>
                </c:pt>
                <c:pt idx="1">
                  <c:v>0.78260869565217395</c:v>
                </c:pt>
              </c:numCache>
            </c:numRef>
          </c:val>
        </c:ser>
        <c:ser>
          <c:idx val="8"/>
          <c:order val="8"/>
          <c:tx>
            <c:strRef>
              <c:f>'Your Elephant'!$S$12</c:f>
              <c:strCache>
                <c:ptCount val="1"/>
                <c:pt idx="0">
                  <c:v>Public Transport</c:v>
                </c:pt>
              </c:strCache>
            </c:strRef>
          </c:tx>
          <c:spPr>
            <a:solidFill>
              <a:srgbClr val="FFC000"/>
            </a:solidFill>
          </c:spPr>
          <c:invertIfNegative val="0"/>
          <c:val>
            <c:numRef>
              <c:f>'Your Elephant'!$U$12:$V$12</c:f>
              <c:numCache>
                <c:formatCode>0.00</c:formatCode>
                <c:ptCount val="2"/>
                <c:pt idx="0">
                  <c:v>0.6</c:v>
                </c:pt>
                <c:pt idx="1">
                  <c:v>0.43043478260869567</c:v>
                </c:pt>
              </c:numCache>
            </c:numRef>
          </c:val>
        </c:ser>
        <c:ser>
          <c:idx val="9"/>
          <c:order val="9"/>
          <c:tx>
            <c:strRef>
              <c:f>'Your Elephant'!$S$13</c:f>
              <c:strCache>
                <c:ptCount val="1"/>
                <c:pt idx="0">
                  <c:v>Veh Purchase and maint</c:v>
                </c:pt>
              </c:strCache>
            </c:strRef>
          </c:tx>
          <c:spPr>
            <a:solidFill>
              <a:schemeClr val="accent6">
                <a:lumMod val="75000"/>
              </a:schemeClr>
            </a:solidFill>
          </c:spPr>
          <c:invertIfNegative val="0"/>
          <c:val>
            <c:numRef>
              <c:f>'Your Elephant'!$U$13:$V$13</c:f>
              <c:numCache>
                <c:formatCode>0.00</c:formatCode>
                <c:ptCount val="2"/>
                <c:pt idx="0">
                  <c:v>0.30897391304347827</c:v>
                </c:pt>
                <c:pt idx="1">
                  <c:v>0.72173913043478266</c:v>
                </c:pt>
              </c:numCache>
            </c:numRef>
          </c:val>
        </c:ser>
        <c:ser>
          <c:idx val="10"/>
          <c:order val="10"/>
          <c:tx>
            <c:strRef>
              <c:f>'Your Elephant'!$S$14</c:f>
              <c:strCache>
                <c:ptCount val="1"/>
                <c:pt idx="0">
                  <c:v>Motor Fuels</c:v>
                </c:pt>
              </c:strCache>
            </c:strRef>
          </c:tx>
          <c:spPr>
            <a:solidFill>
              <a:schemeClr val="accent6">
                <a:lumMod val="50000"/>
              </a:schemeClr>
            </a:solidFill>
          </c:spPr>
          <c:invertIfNegative val="0"/>
          <c:val>
            <c:numRef>
              <c:f>'Your Elephant'!$U$14:$V$14</c:f>
              <c:numCache>
                <c:formatCode>0.00</c:formatCode>
                <c:ptCount val="2"/>
                <c:pt idx="0">
                  <c:v>1.5448695652173912</c:v>
                </c:pt>
                <c:pt idx="1">
                  <c:v>1.4347826086956521</c:v>
                </c:pt>
              </c:numCache>
            </c:numRef>
          </c:val>
        </c:ser>
        <c:ser>
          <c:idx val="11"/>
          <c:order val="11"/>
          <c:tx>
            <c:strRef>
              <c:f>'Your Elephant'!$S$15</c:f>
              <c:strCache>
                <c:ptCount val="1"/>
                <c:pt idx="0">
                  <c:v>Appliances</c:v>
                </c:pt>
              </c:strCache>
            </c:strRef>
          </c:tx>
          <c:spPr>
            <a:solidFill>
              <a:schemeClr val="accent2">
                <a:lumMod val="60000"/>
                <a:lumOff val="40000"/>
              </a:schemeClr>
            </a:solidFill>
          </c:spPr>
          <c:invertIfNegative val="0"/>
          <c:val>
            <c:numRef>
              <c:f>'Your Elephant'!$U$15:$V$15</c:f>
              <c:numCache>
                <c:formatCode>0.00</c:formatCode>
                <c:ptCount val="2"/>
                <c:pt idx="0">
                  <c:v>0.72608695652173927</c:v>
                </c:pt>
                <c:pt idx="1">
                  <c:v>0.73043478260869565</c:v>
                </c:pt>
              </c:numCache>
            </c:numRef>
          </c:val>
        </c:ser>
        <c:ser>
          <c:idx val="12"/>
          <c:order val="12"/>
          <c:tx>
            <c:strRef>
              <c:f>'Your Elephant'!$S$16</c:f>
              <c:strCache>
                <c:ptCount val="1"/>
                <c:pt idx="0">
                  <c:v>Water Heating</c:v>
                </c:pt>
              </c:strCache>
            </c:strRef>
          </c:tx>
          <c:spPr>
            <a:solidFill>
              <a:srgbClr val="FF0000"/>
            </a:solidFill>
          </c:spPr>
          <c:invertIfNegative val="0"/>
          <c:val>
            <c:numRef>
              <c:f>'Your Elephant'!$U$16:$V$16</c:f>
              <c:numCache>
                <c:formatCode>0.00</c:formatCode>
                <c:ptCount val="2"/>
                <c:pt idx="0">
                  <c:v>0.42125599999999996</c:v>
                </c:pt>
                <c:pt idx="1">
                  <c:v>0.43478260869565222</c:v>
                </c:pt>
              </c:numCache>
            </c:numRef>
          </c:val>
        </c:ser>
        <c:ser>
          <c:idx val="13"/>
          <c:order val="13"/>
          <c:tx>
            <c:strRef>
              <c:f>'Your Elephant'!$S$17</c:f>
              <c:strCache>
                <c:ptCount val="1"/>
                <c:pt idx="0">
                  <c:v>Space Heating</c:v>
                </c:pt>
              </c:strCache>
            </c:strRef>
          </c:tx>
          <c:spPr>
            <a:solidFill>
              <a:srgbClr val="C00000"/>
            </a:solidFill>
          </c:spPr>
          <c:invertIfNegative val="0"/>
          <c:val>
            <c:numRef>
              <c:f>'Your Elephant'!$U$17:$V$17</c:f>
              <c:numCache>
                <c:formatCode>0.00</c:formatCode>
                <c:ptCount val="2"/>
                <c:pt idx="0">
                  <c:v>1.2950895652173917</c:v>
                </c:pt>
                <c:pt idx="1">
                  <c:v>1.3043478260869565</c:v>
                </c:pt>
              </c:numCache>
            </c:numRef>
          </c:val>
        </c:ser>
        <c:dLbls>
          <c:showLegendKey val="0"/>
          <c:showVal val="0"/>
          <c:showCatName val="0"/>
          <c:showSerName val="0"/>
          <c:showPercent val="0"/>
          <c:showBubbleSize val="0"/>
        </c:dLbls>
        <c:gapWidth val="150"/>
        <c:overlap val="100"/>
        <c:axId val="55133312"/>
        <c:axId val="55134848"/>
      </c:barChart>
      <c:catAx>
        <c:axId val="55133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134848"/>
        <c:crosses val="autoZero"/>
        <c:auto val="1"/>
        <c:lblAlgn val="ctr"/>
        <c:lblOffset val="100"/>
        <c:noMultiLvlLbl val="0"/>
      </c:catAx>
      <c:valAx>
        <c:axId val="5513484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133312"/>
        <c:crosses val="autoZero"/>
        <c:crossBetween val="between"/>
      </c:valAx>
    </c:plotArea>
    <c:legend>
      <c:legendPos val="t"/>
      <c:overlay val="0"/>
      <c:txPr>
        <a:bodyPr/>
        <a:lstStyle/>
        <a:p>
          <a:pPr>
            <a:defRPr sz="5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732687922206478"/>
          <c:y val="0.1742835697450387"/>
          <c:w val="0.43575061314057068"/>
          <c:h val="0.72074121882305742"/>
        </c:manualLayout>
      </c:layout>
      <c:barChart>
        <c:barDir val="col"/>
        <c:grouping val="stacked"/>
        <c:varyColors val="0"/>
        <c:ser>
          <c:idx val="6"/>
          <c:order val="0"/>
          <c:tx>
            <c:strRef>
              <c:f>'Your Elephant'!$B$12</c:f>
              <c:strCache>
                <c:ptCount val="1"/>
                <c:pt idx="0">
                  <c:v>NE</c:v>
                </c:pt>
              </c:strCache>
            </c:strRef>
          </c:tx>
          <c:invertIfNegative val="0"/>
          <c:cat>
            <c:strRef>
              <c:f>'Your Elephant'!$D$5:$E$5</c:f>
              <c:strCache>
                <c:ptCount val="2"/>
                <c:pt idx="0">
                  <c:v>YOUR CHOICES</c:v>
                </c:pt>
                <c:pt idx="1">
                  <c:v>AVERAGE</c:v>
                </c:pt>
              </c:strCache>
            </c:strRef>
          </c:cat>
          <c:val>
            <c:numRef>
              <c:f>'Your Elephant'!$D$12:$E$12</c:f>
              <c:numCache>
                <c:formatCode>0.0</c:formatCode>
                <c:ptCount val="2"/>
                <c:pt idx="0">
                  <c:v>0</c:v>
                </c:pt>
                <c:pt idx="1">
                  <c:v>0</c:v>
                </c:pt>
              </c:numCache>
            </c:numRef>
          </c:val>
        </c:ser>
        <c:ser>
          <c:idx val="5"/>
          <c:order val="1"/>
          <c:tx>
            <c:strRef>
              <c:f>'Your Elephant'!$B$11</c:f>
              <c:strCache>
                <c:ptCount val="1"/>
                <c:pt idx="0">
                  <c:v>PS</c:v>
                </c:pt>
              </c:strCache>
            </c:strRef>
          </c:tx>
          <c:spPr>
            <a:gradFill flip="none" rotWithShape="1">
              <a:gsLst>
                <a:gs pos="0">
                  <a:schemeClr val="tx1">
                    <a:lumMod val="85000"/>
                    <a:lumOff val="15000"/>
                    <a:tint val="66000"/>
                    <a:satMod val="160000"/>
                  </a:schemeClr>
                </a:gs>
                <a:gs pos="50000">
                  <a:schemeClr val="tx1">
                    <a:lumMod val="85000"/>
                    <a:lumOff val="15000"/>
                    <a:tint val="44500"/>
                    <a:satMod val="160000"/>
                  </a:schemeClr>
                </a:gs>
                <a:gs pos="100000">
                  <a:schemeClr val="tx1">
                    <a:lumMod val="85000"/>
                    <a:lumOff val="15000"/>
                    <a:tint val="23500"/>
                    <a:satMod val="160000"/>
                  </a:schemeClr>
                </a:gs>
              </a:gsLst>
              <a:lin ang="0" scaled="1"/>
              <a:tileRect/>
            </a:gradFill>
          </c:spPr>
          <c:invertIfNegative val="0"/>
          <c:cat>
            <c:strRef>
              <c:f>'Your Elephant'!$D$5:$E$5</c:f>
              <c:strCache>
                <c:ptCount val="2"/>
                <c:pt idx="0">
                  <c:v>YOUR CHOICES</c:v>
                </c:pt>
                <c:pt idx="1">
                  <c:v>AVERAGE</c:v>
                </c:pt>
              </c:strCache>
            </c:strRef>
          </c:cat>
          <c:val>
            <c:numRef>
              <c:f>'Your Elephant'!$D$11:$E$11</c:f>
              <c:numCache>
                <c:formatCode>0.0</c:formatCode>
                <c:ptCount val="2"/>
                <c:pt idx="0">
                  <c:v>2.6304347826086958</c:v>
                </c:pt>
                <c:pt idx="1">
                  <c:v>2.6304347826086958</c:v>
                </c:pt>
              </c:numCache>
            </c:numRef>
          </c:val>
        </c:ser>
        <c:ser>
          <c:idx val="4"/>
          <c:order val="2"/>
          <c:tx>
            <c:strRef>
              <c:f>'Your Elephant'!$B$10</c:f>
              <c:strCache>
                <c:ptCount val="1"/>
                <c:pt idx="0">
                  <c:v>G&amp;S</c:v>
                </c:pt>
              </c:strCache>
            </c:strRef>
          </c:tx>
          <c:spPr>
            <a:gradFill flip="none" rotWithShape="1">
              <a:gsLst>
                <a:gs pos="0">
                  <a:schemeClr val="accent5">
                    <a:shade val="30000"/>
                    <a:satMod val="115000"/>
                    <a:lumMod val="80000"/>
                  </a:schemeClr>
                </a:gs>
                <a:gs pos="50000">
                  <a:schemeClr val="accent5">
                    <a:lumMod val="75000"/>
                    <a:shade val="67500"/>
                    <a:satMod val="115000"/>
                  </a:schemeClr>
                </a:gs>
                <a:gs pos="100000">
                  <a:schemeClr val="accent5">
                    <a:lumMod val="75000"/>
                    <a:shade val="100000"/>
                    <a:satMod val="115000"/>
                  </a:schemeClr>
                </a:gs>
              </a:gsLst>
              <a:lin ang="0" scaled="1"/>
              <a:tileRect/>
            </a:gradFill>
          </c:spPr>
          <c:invertIfNegative val="0"/>
          <c:cat>
            <c:strRef>
              <c:f>'Your Elephant'!$D$5:$E$5</c:f>
              <c:strCache>
                <c:ptCount val="2"/>
                <c:pt idx="0">
                  <c:v>YOUR CHOICES</c:v>
                </c:pt>
                <c:pt idx="1">
                  <c:v>AVERAGE</c:v>
                </c:pt>
              </c:strCache>
            </c:strRef>
          </c:cat>
          <c:val>
            <c:numRef>
              <c:f>'Your Elephant'!$D$10:$E$10</c:f>
              <c:numCache>
                <c:formatCode>0.0</c:formatCode>
                <c:ptCount val="2"/>
                <c:pt idx="0">
                  <c:v>4.3250000000000002</c:v>
                </c:pt>
                <c:pt idx="1">
                  <c:v>4.34</c:v>
                </c:pt>
              </c:numCache>
            </c:numRef>
          </c:val>
        </c:ser>
        <c:ser>
          <c:idx val="3"/>
          <c:order val="3"/>
          <c:tx>
            <c:strRef>
              <c:f>'Your Elephant'!$B$9</c:f>
              <c:strCache>
                <c:ptCount val="1"/>
                <c:pt idx="0">
                  <c:v>F</c:v>
                </c:pt>
              </c:strCache>
            </c:strRef>
          </c:tx>
          <c:spPr>
            <a:gradFill flip="none" rotWithShape="1">
              <a:gsLst>
                <a:gs pos="0">
                  <a:srgbClr val="00B050">
                    <a:shade val="30000"/>
                    <a:satMod val="115000"/>
                    <a:lumMod val="95000"/>
                    <a:lumOff val="5000"/>
                  </a:srgbClr>
                </a:gs>
                <a:gs pos="50000">
                  <a:srgbClr val="00B050">
                    <a:shade val="67500"/>
                    <a:satMod val="115000"/>
                  </a:srgbClr>
                </a:gs>
                <a:gs pos="100000">
                  <a:srgbClr val="00B05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Elephant'!$D$9:$E$9</c:f>
              <c:numCache>
                <c:formatCode>0.0</c:formatCode>
                <c:ptCount val="2"/>
                <c:pt idx="0">
                  <c:v>0.4596159999999998</c:v>
                </c:pt>
                <c:pt idx="1">
                  <c:v>3.05</c:v>
                </c:pt>
              </c:numCache>
            </c:numRef>
          </c:val>
        </c:ser>
        <c:ser>
          <c:idx val="2"/>
          <c:order val="4"/>
          <c:tx>
            <c:strRef>
              <c:f>'Your Elephant'!$B$8</c:f>
              <c:strCache>
                <c:ptCount val="1"/>
                <c:pt idx="0">
                  <c:v>FLY</c:v>
                </c:pt>
              </c:strCache>
            </c:strRef>
          </c:tx>
          <c:spPr>
            <a:gradFill flip="none" rotWithShape="1">
              <a:gsLst>
                <a:gs pos="0">
                  <a:srgbClr val="FFFF00">
                    <a:shade val="30000"/>
                    <a:satMod val="115000"/>
                    <a:lumMod val="90000"/>
                    <a:lumOff val="10000"/>
                  </a:srgbClr>
                </a:gs>
                <a:gs pos="50000">
                  <a:srgbClr val="FFFF00">
                    <a:shade val="67500"/>
                    <a:satMod val="115000"/>
                  </a:srgbClr>
                </a:gs>
                <a:gs pos="100000">
                  <a:srgbClr val="FFFF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Elephant'!$D$8:$E$8</c:f>
              <c:numCache>
                <c:formatCode>0.0</c:formatCode>
                <c:ptCount val="2"/>
                <c:pt idx="0">
                  <c:v>0.79799999999999993</c:v>
                </c:pt>
                <c:pt idx="1">
                  <c:v>0.78</c:v>
                </c:pt>
              </c:numCache>
            </c:numRef>
          </c:val>
        </c:ser>
        <c:ser>
          <c:idx val="1"/>
          <c:order val="5"/>
          <c:tx>
            <c:strRef>
              <c:f>'Your Elephant'!$B$7</c:f>
              <c:strCache>
                <c:ptCount val="1"/>
                <c:pt idx="0">
                  <c:v>TRA</c:v>
                </c:pt>
              </c:strCache>
            </c:strRef>
          </c:tx>
          <c:spPr>
            <a:gradFill flip="none" rotWithShape="1">
              <a:gsLst>
                <a:gs pos="0">
                  <a:srgbClr val="FFC000">
                    <a:shade val="30000"/>
                    <a:satMod val="115000"/>
                    <a:lumMod val="95000"/>
                    <a:lumOff val="5000"/>
                  </a:srgbClr>
                </a:gs>
                <a:gs pos="50000">
                  <a:srgbClr val="FFC000">
                    <a:shade val="67500"/>
                    <a:satMod val="115000"/>
                  </a:srgbClr>
                </a:gs>
                <a:gs pos="100000">
                  <a:srgbClr val="FFC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Elephant'!$D$7:$E$7</c:f>
              <c:numCache>
                <c:formatCode>0.0</c:formatCode>
                <c:ptCount val="2"/>
                <c:pt idx="0">
                  <c:v>2.4538434782608691</c:v>
                </c:pt>
                <c:pt idx="1">
                  <c:v>2.59</c:v>
                </c:pt>
              </c:numCache>
            </c:numRef>
          </c:val>
        </c:ser>
        <c:ser>
          <c:idx val="0"/>
          <c:order val="6"/>
          <c:tx>
            <c:strRef>
              <c:f>'Your Elephant'!$B$6</c:f>
              <c:strCache>
                <c:ptCount val="1"/>
                <c:pt idx="0">
                  <c:v>HE</c:v>
                </c:pt>
              </c:strCache>
            </c:strRef>
          </c:tx>
          <c:spPr>
            <a:gradFill flip="none" rotWithShape="1">
              <a:gsLst>
                <a:gs pos="0">
                  <a:srgbClr val="CC0000">
                    <a:shade val="30000"/>
                    <a:satMod val="115000"/>
                    <a:lumMod val="95000"/>
                    <a:lumOff val="5000"/>
                  </a:srgbClr>
                </a:gs>
                <a:gs pos="50000">
                  <a:srgbClr val="CC0000">
                    <a:shade val="67500"/>
                    <a:satMod val="115000"/>
                  </a:srgbClr>
                </a:gs>
                <a:gs pos="100000">
                  <a:srgbClr val="CC0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Elephant'!$D$6:$E$6</c:f>
              <c:numCache>
                <c:formatCode>0.0</c:formatCode>
                <c:ptCount val="2"/>
                <c:pt idx="0">
                  <c:v>2.4424325217391307</c:v>
                </c:pt>
                <c:pt idx="1">
                  <c:v>2.4700000000000002</c:v>
                </c:pt>
              </c:numCache>
            </c:numRef>
          </c:val>
        </c:ser>
        <c:dLbls>
          <c:showLegendKey val="0"/>
          <c:showVal val="0"/>
          <c:showCatName val="0"/>
          <c:showSerName val="0"/>
          <c:showPercent val="0"/>
          <c:showBubbleSize val="0"/>
        </c:dLbls>
        <c:gapWidth val="70"/>
        <c:overlap val="100"/>
        <c:axId val="55180672"/>
        <c:axId val="39527552"/>
      </c:barChart>
      <c:catAx>
        <c:axId val="55180672"/>
        <c:scaling>
          <c:orientation val="minMax"/>
        </c:scaling>
        <c:delete val="0"/>
        <c:axPos val="b"/>
        <c:numFmt formatCode="General" sourceLinked="0"/>
        <c:majorTickMark val="out"/>
        <c:minorTickMark val="none"/>
        <c:tickLblPos val="nextTo"/>
        <c:crossAx val="39527552"/>
        <c:crosses val="autoZero"/>
        <c:auto val="1"/>
        <c:lblAlgn val="ctr"/>
        <c:lblOffset val="100"/>
        <c:noMultiLvlLbl val="0"/>
      </c:catAx>
      <c:valAx>
        <c:axId val="39527552"/>
        <c:scaling>
          <c:orientation val="minMax"/>
        </c:scaling>
        <c:delete val="0"/>
        <c:axPos val="l"/>
        <c:title>
          <c:tx>
            <c:rich>
              <a:bodyPr rot="-5400000" vert="horz"/>
              <a:lstStyle/>
              <a:p>
                <a:pPr>
                  <a:defRPr b="0"/>
                </a:pPr>
                <a:r>
                  <a:rPr lang="en-US" b="0"/>
                  <a:t>PERSONAL CARBON FOOTPRINT, TONNES CO2E PER YEAR</a:t>
                </a:r>
              </a:p>
            </c:rich>
          </c:tx>
          <c:layout>
            <c:manualLayout>
              <c:xMode val="edge"/>
              <c:yMode val="edge"/>
              <c:x val="0.2667124478292674"/>
              <c:y val="0.28468048993875794"/>
            </c:manualLayout>
          </c:layout>
          <c:overlay val="0"/>
        </c:title>
        <c:numFmt formatCode="0" sourceLinked="0"/>
        <c:majorTickMark val="out"/>
        <c:minorTickMark val="none"/>
        <c:tickLblPos val="nextTo"/>
        <c:crossAx val="55180672"/>
        <c:crosses val="autoZero"/>
        <c:crossBetween val="between"/>
      </c:valAx>
      <c:spPr>
        <a:noFill/>
      </c:spPr>
    </c:plotArea>
    <c:legend>
      <c:legendPos val="r"/>
      <c:layout>
        <c:manualLayout>
          <c:xMode val="edge"/>
          <c:yMode val="edge"/>
          <c:x val="5.0923454240351121E-2"/>
          <c:y val="0.40054173228346457"/>
          <c:w val="0.16322189234542409"/>
          <c:h val="0.30015485564304473"/>
        </c:manualLayout>
      </c:layout>
      <c:overlay val="0"/>
      <c:txPr>
        <a:bodyPr/>
        <a:lstStyle/>
        <a:p>
          <a:pPr>
            <a:defRPr sz="1100">
              <a:latin typeface="Calibri Light" panose="020F0302020204030204" pitchFamily="34" charset="0"/>
            </a:defRPr>
          </a:pPr>
          <a:endParaRPr lang="en-U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732687922206478"/>
          <c:y val="0.1742835697450387"/>
          <c:w val="0.43575061314057068"/>
          <c:h val="0.72074121882305742"/>
        </c:manualLayout>
      </c:layout>
      <c:barChart>
        <c:barDir val="col"/>
        <c:grouping val="stacked"/>
        <c:varyColors val="0"/>
        <c:ser>
          <c:idx val="6"/>
          <c:order val="0"/>
          <c:tx>
            <c:strRef>
              <c:f>'Your Elephant'!$B$12</c:f>
              <c:strCache>
                <c:ptCount val="1"/>
                <c:pt idx="0">
                  <c:v>NE</c:v>
                </c:pt>
              </c:strCache>
            </c:strRef>
          </c:tx>
          <c:invertIfNegative val="0"/>
          <c:cat>
            <c:strRef>
              <c:f>'Your Elephant'!$D$5:$E$5</c:f>
              <c:strCache>
                <c:ptCount val="2"/>
                <c:pt idx="0">
                  <c:v>YOUR CHOICES</c:v>
                </c:pt>
                <c:pt idx="1">
                  <c:v>AVERAGE</c:v>
                </c:pt>
              </c:strCache>
            </c:strRef>
          </c:cat>
          <c:val>
            <c:numRef>
              <c:f>'Your Elephant'!$D$12:$E$12</c:f>
              <c:numCache>
                <c:formatCode>0.0</c:formatCode>
                <c:ptCount val="2"/>
                <c:pt idx="0">
                  <c:v>0</c:v>
                </c:pt>
                <c:pt idx="1">
                  <c:v>0</c:v>
                </c:pt>
              </c:numCache>
            </c:numRef>
          </c:val>
        </c:ser>
        <c:ser>
          <c:idx val="5"/>
          <c:order val="1"/>
          <c:tx>
            <c:strRef>
              <c:f>'Your Elephant'!$B$11</c:f>
              <c:strCache>
                <c:ptCount val="1"/>
                <c:pt idx="0">
                  <c:v>PS</c:v>
                </c:pt>
              </c:strCache>
            </c:strRef>
          </c:tx>
          <c:spPr>
            <a:gradFill flip="none" rotWithShape="1">
              <a:gsLst>
                <a:gs pos="0">
                  <a:schemeClr val="tx1">
                    <a:lumMod val="85000"/>
                    <a:lumOff val="15000"/>
                    <a:tint val="66000"/>
                    <a:satMod val="160000"/>
                  </a:schemeClr>
                </a:gs>
                <a:gs pos="50000">
                  <a:schemeClr val="tx1">
                    <a:lumMod val="85000"/>
                    <a:lumOff val="15000"/>
                    <a:tint val="44500"/>
                    <a:satMod val="160000"/>
                  </a:schemeClr>
                </a:gs>
                <a:gs pos="100000">
                  <a:schemeClr val="tx1">
                    <a:lumMod val="85000"/>
                    <a:lumOff val="15000"/>
                    <a:tint val="23500"/>
                    <a:satMod val="160000"/>
                  </a:schemeClr>
                </a:gs>
              </a:gsLst>
              <a:lin ang="0" scaled="1"/>
              <a:tileRect/>
            </a:gradFill>
          </c:spPr>
          <c:invertIfNegative val="0"/>
          <c:cat>
            <c:strRef>
              <c:f>'Your Elephant'!$D$5:$E$5</c:f>
              <c:strCache>
                <c:ptCount val="2"/>
                <c:pt idx="0">
                  <c:v>YOUR CHOICES</c:v>
                </c:pt>
                <c:pt idx="1">
                  <c:v>AVERAGE</c:v>
                </c:pt>
              </c:strCache>
            </c:strRef>
          </c:cat>
          <c:val>
            <c:numRef>
              <c:f>'Your Elephant'!$D$11:$E$11</c:f>
              <c:numCache>
                <c:formatCode>0.0</c:formatCode>
                <c:ptCount val="2"/>
                <c:pt idx="0">
                  <c:v>2.6304347826086958</c:v>
                </c:pt>
                <c:pt idx="1">
                  <c:v>2.6304347826086958</c:v>
                </c:pt>
              </c:numCache>
            </c:numRef>
          </c:val>
        </c:ser>
        <c:ser>
          <c:idx val="4"/>
          <c:order val="2"/>
          <c:tx>
            <c:strRef>
              <c:f>'Your Elephant'!$B$10</c:f>
              <c:strCache>
                <c:ptCount val="1"/>
                <c:pt idx="0">
                  <c:v>G&amp;S</c:v>
                </c:pt>
              </c:strCache>
            </c:strRef>
          </c:tx>
          <c:spPr>
            <a:gradFill flip="none" rotWithShape="1">
              <a:gsLst>
                <a:gs pos="0">
                  <a:schemeClr val="accent5">
                    <a:shade val="30000"/>
                    <a:satMod val="115000"/>
                    <a:lumMod val="80000"/>
                  </a:schemeClr>
                </a:gs>
                <a:gs pos="50000">
                  <a:schemeClr val="accent5">
                    <a:lumMod val="75000"/>
                    <a:shade val="67500"/>
                    <a:satMod val="115000"/>
                  </a:schemeClr>
                </a:gs>
                <a:gs pos="100000">
                  <a:schemeClr val="accent5">
                    <a:lumMod val="75000"/>
                    <a:shade val="100000"/>
                    <a:satMod val="115000"/>
                  </a:schemeClr>
                </a:gs>
              </a:gsLst>
              <a:lin ang="0" scaled="1"/>
              <a:tileRect/>
            </a:gradFill>
          </c:spPr>
          <c:invertIfNegative val="0"/>
          <c:cat>
            <c:strRef>
              <c:f>'Your Elephant'!$D$5:$E$5</c:f>
              <c:strCache>
                <c:ptCount val="2"/>
                <c:pt idx="0">
                  <c:v>YOUR CHOICES</c:v>
                </c:pt>
                <c:pt idx="1">
                  <c:v>AVERAGE</c:v>
                </c:pt>
              </c:strCache>
            </c:strRef>
          </c:cat>
          <c:val>
            <c:numRef>
              <c:f>'Your Elephant'!$D$10:$E$10</c:f>
              <c:numCache>
                <c:formatCode>0.0</c:formatCode>
                <c:ptCount val="2"/>
                <c:pt idx="0">
                  <c:v>4.3250000000000002</c:v>
                </c:pt>
                <c:pt idx="1">
                  <c:v>4.34</c:v>
                </c:pt>
              </c:numCache>
            </c:numRef>
          </c:val>
        </c:ser>
        <c:ser>
          <c:idx val="3"/>
          <c:order val="3"/>
          <c:tx>
            <c:strRef>
              <c:f>'Your Elephant'!$B$9</c:f>
              <c:strCache>
                <c:ptCount val="1"/>
                <c:pt idx="0">
                  <c:v>F</c:v>
                </c:pt>
              </c:strCache>
            </c:strRef>
          </c:tx>
          <c:spPr>
            <a:gradFill flip="none" rotWithShape="1">
              <a:gsLst>
                <a:gs pos="0">
                  <a:srgbClr val="00B050">
                    <a:shade val="30000"/>
                    <a:satMod val="115000"/>
                    <a:lumMod val="95000"/>
                    <a:lumOff val="5000"/>
                  </a:srgbClr>
                </a:gs>
                <a:gs pos="50000">
                  <a:srgbClr val="00B050">
                    <a:shade val="67500"/>
                    <a:satMod val="115000"/>
                  </a:srgbClr>
                </a:gs>
                <a:gs pos="100000">
                  <a:srgbClr val="00B05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Elephant'!$D$9:$E$9</c:f>
              <c:numCache>
                <c:formatCode>0.0</c:formatCode>
                <c:ptCount val="2"/>
                <c:pt idx="0">
                  <c:v>0.4596159999999998</c:v>
                </c:pt>
                <c:pt idx="1">
                  <c:v>3.05</c:v>
                </c:pt>
              </c:numCache>
            </c:numRef>
          </c:val>
        </c:ser>
        <c:ser>
          <c:idx val="2"/>
          <c:order val="4"/>
          <c:tx>
            <c:strRef>
              <c:f>'Your Elephant'!$B$8</c:f>
              <c:strCache>
                <c:ptCount val="1"/>
                <c:pt idx="0">
                  <c:v>FLY</c:v>
                </c:pt>
              </c:strCache>
            </c:strRef>
          </c:tx>
          <c:spPr>
            <a:gradFill flip="none" rotWithShape="1">
              <a:gsLst>
                <a:gs pos="0">
                  <a:srgbClr val="FFFF00">
                    <a:shade val="30000"/>
                    <a:satMod val="115000"/>
                    <a:lumMod val="90000"/>
                    <a:lumOff val="10000"/>
                  </a:srgbClr>
                </a:gs>
                <a:gs pos="50000">
                  <a:srgbClr val="FFFF00">
                    <a:shade val="67500"/>
                    <a:satMod val="115000"/>
                  </a:srgbClr>
                </a:gs>
                <a:gs pos="100000">
                  <a:srgbClr val="FFFF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Elephant'!$D$8:$E$8</c:f>
              <c:numCache>
                <c:formatCode>0.0</c:formatCode>
                <c:ptCount val="2"/>
                <c:pt idx="0">
                  <c:v>0.79799999999999993</c:v>
                </c:pt>
                <c:pt idx="1">
                  <c:v>0.78</c:v>
                </c:pt>
              </c:numCache>
            </c:numRef>
          </c:val>
        </c:ser>
        <c:ser>
          <c:idx val="1"/>
          <c:order val="5"/>
          <c:tx>
            <c:strRef>
              <c:f>'Your Elephant'!$B$7</c:f>
              <c:strCache>
                <c:ptCount val="1"/>
                <c:pt idx="0">
                  <c:v>TRA</c:v>
                </c:pt>
              </c:strCache>
            </c:strRef>
          </c:tx>
          <c:spPr>
            <a:gradFill flip="none" rotWithShape="1">
              <a:gsLst>
                <a:gs pos="0">
                  <a:srgbClr val="FFC000">
                    <a:shade val="30000"/>
                    <a:satMod val="115000"/>
                    <a:lumMod val="95000"/>
                    <a:lumOff val="5000"/>
                  </a:srgbClr>
                </a:gs>
                <a:gs pos="50000">
                  <a:srgbClr val="FFC000">
                    <a:shade val="67500"/>
                    <a:satMod val="115000"/>
                  </a:srgbClr>
                </a:gs>
                <a:gs pos="100000">
                  <a:srgbClr val="FFC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Elephant'!$D$7:$E$7</c:f>
              <c:numCache>
                <c:formatCode>0.0</c:formatCode>
                <c:ptCount val="2"/>
                <c:pt idx="0">
                  <c:v>2.4538434782608691</c:v>
                </c:pt>
                <c:pt idx="1">
                  <c:v>2.59</c:v>
                </c:pt>
              </c:numCache>
            </c:numRef>
          </c:val>
        </c:ser>
        <c:ser>
          <c:idx val="0"/>
          <c:order val="6"/>
          <c:tx>
            <c:strRef>
              <c:f>'Your Elephant'!$B$6</c:f>
              <c:strCache>
                <c:ptCount val="1"/>
                <c:pt idx="0">
                  <c:v>HE</c:v>
                </c:pt>
              </c:strCache>
            </c:strRef>
          </c:tx>
          <c:spPr>
            <a:gradFill flip="none" rotWithShape="1">
              <a:gsLst>
                <a:gs pos="0">
                  <a:srgbClr val="CC0000">
                    <a:shade val="30000"/>
                    <a:satMod val="115000"/>
                    <a:lumMod val="95000"/>
                    <a:lumOff val="5000"/>
                  </a:srgbClr>
                </a:gs>
                <a:gs pos="50000">
                  <a:srgbClr val="CC0000">
                    <a:shade val="67500"/>
                    <a:satMod val="115000"/>
                  </a:srgbClr>
                </a:gs>
                <a:gs pos="100000">
                  <a:srgbClr val="CC0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Elephant'!$D$6:$E$6</c:f>
              <c:numCache>
                <c:formatCode>0.0</c:formatCode>
                <c:ptCount val="2"/>
                <c:pt idx="0">
                  <c:v>2.4424325217391307</c:v>
                </c:pt>
                <c:pt idx="1">
                  <c:v>2.4700000000000002</c:v>
                </c:pt>
              </c:numCache>
            </c:numRef>
          </c:val>
        </c:ser>
        <c:dLbls>
          <c:showLegendKey val="0"/>
          <c:showVal val="0"/>
          <c:showCatName val="0"/>
          <c:showSerName val="0"/>
          <c:showPercent val="0"/>
          <c:showBubbleSize val="0"/>
        </c:dLbls>
        <c:gapWidth val="70"/>
        <c:overlap val="100"/>
        <c:axId val="39610624"/>
        <c:axId val="39612416"/>
      </c:barChart>
      <c:catAx>
        <c:axId val="39610624"/>
        <c:scaling>
          <c:orientation val="minMax"/>
        </c:scaling>
        <c:delete val="0"/>
        <c:axPos val="b"/>
        <c:numFmt formatCode="General" sourceLinked="0"/>
        <c:majorTickMark val="out"/>
        <c:minorTickMark val="none"/>
        <c:tickLblPos val="nextTo"/>
        <c:crossAx val="39612416"/>
        <c:crosses val="autoZero"/>
        <c:auto val="1"/>
        <c:lblAlgn val="ctr"/>
        <c:lblOffset val="100"/>
        <c:noMultiLvlLbl val="0"/>
      </c:catAx>
      <c:valAx>
        <c:axId val="39612416"/>
        <c:scaling>
          <c:orientation val="minMax"/>
        </c:scaling>
        <c:delete val="0"/>
        <c:axPos val="l"/>
        <c:title>
          <c:tx>
            <c:rich>
              <a:bodyPr rot="-5400000" vert="horz"/>
              <a:lstStyle/>
              <a:p>
                <a:pPr>
                  <a:defRPr b="0"/>
                </a:pPr>
                <a:r>
                  <a:rPr lang="en-US" b="0"/>
                  <a:t>PERSONAL CARBON FOOTPRINT, TONNES CO2E PER YEAR</a:t>
                </a:r>
              </a:p>
            </c:rich>
          </c:tx>
          <c:layout>
            <c:manualLayout>
              <c:xMode val="edge"/>
              <c:yMode val="edge"/>
              <c:x val="0.2667124478292674"/>
              <c:y val="0.28468048993875794"/>
            </c:manualLayout>
          </c:layout>
          <c:overlay val="0"/>
        </c:title>
        <c:numFmt formatCode="0" sourceLinked="0"/>
        <c:majorTickMark val="out"/>
        <c:minorTickMark val="none"/>
        <c:tickLblPos val="nextTo"/>
        <c:crossAx val="39610624"/>
        <c:crosses val="autoZero"/>
        <c:crossBetween val="between"/>
      </c:valAx>
      <c:spPr>
        <a:noFill/>
      </c:spPr>
    </c:plotArea>
    <c:legend>
      <c:legendPos val="r"/>
      <c:layout>
        <c:manualLayout>
          <c:xMode val="edge"/>
          <c:yMode val="edge"/>
          <c:x val="5.0923454240351121E-2"/>
          <c:y val="0.40054173228346457"/>
          <c:w val="0.16322189234542409"/>
          <c:h val="0.30015485564304473"/>
        </c:manualLayout>
      </c:layout>
      <c:overlay val="0"/>
      <c:txPr>
        <a:bodyPr/>
        <a:lstStyle/>
        <a:p>
          <a:pPr>
            <a:defRPr sz="1100">
              <a:latin typeface="Calibri Light" panose="020F0302020204030204" pitchFamily="34" charset="0"/>
            </a:defRPr>
          </a:pPr>
          <a:endParaRPr lang="en-U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Steps!$B$76</c:f>
              <c:strCache>
                <c:ptCount val="1"/>
                <c:pt idx="0">
                  <c:v>PUBLIC SERVICES</c:v>
                </c:pt>
              </c:strCache>
            </c:strRef>
          </c:tx>
          <c:spPr>
            <a:solidFill>
              <a:schemeClr val="tx1"/>
            </a:solidFill>
          </c:spPr>
          <c:invertIfNegative val="0"/>
          <c:cat>
            <c:strRef>
              <c:f>Steps!$C$75:$G$75</c:f>
              <c:strCache>
                <c:ptCount val="5"/>
                <c:pt idx="0">
                  <c:v>LOWER THAN AVERAGE, 5 PEOPLE</c:v>
                </c:pt>
                <c:pt idx="1">
                  <c:v>LOWER THAN AVERAGE, 2 PEOPLE</c:v>
                </c:pt>
                <c:pt idx="2">
                  <c:v>AVERAGE HOUSE, 2.4 PEOPLE</c:v>
                </c:pt>
                <c:pt idx="3">
                  <c:v>VERY HIGH, 5 PEOPLE</c:v>
                </c:pt>
                <c:pt idx="4">
                  <c:v>VERY HIGH,2 PEOPLE</c:v>
                </c:pt>
              </c:strCache>
            </c:strRef>
          </c:cat>
          <c:val>
            <c:numRef>
              <c:f>Steps!$C$76:$G$76</c:f>
              <c:numCache>
                <c:formatCode>General</c:formatCode>
                <c:ptCount val="5"/>
                <c:pt idx="0">
                  <c:v>2.3256630405176959</c:v>
                </c:pt>
                <c:pt idx="1">
                  <c:v>2.3256630405176959</c:v>
                </c:pt>
                <c:pt idx="2" formatCode="0.00">
                  <c:v>2.5370967741935484</c:v>
                </c:pt>
                <c:pt idx="3">
                  <c:v>1.9448460646967296</c:v>
                </c:pt>
                <c:pt idx="4">
                  <c:v>1.9448460646967296</c:v>
                </c:pt>
              </c:numCache>
            </c:numRef>
          </c:val>
        </c:ser>
        <c:ser>
          <c:idx val="1"/>
          <c:order val="1"/>
          <c:tx>
            <c:strRef>
              <c:f>Steps!$B$77</c:f>
              <c:strCache>
                <c:ptCount val="1"/>
                <c:pt idx="0">
                  <c:v>PRIVATE SERVICES</c:v>
                </c:pt>
              </c:strCache>
            </c:strRef>
          </c:tx>
          <c:spPr>
            <a:solidFill>
              <a:schemeClr val="tx2">
                <a:lumMod val="40000"/>
                <a:lumOff val="60000"/>
              </a:schemeClr>
            </a:solidFill>
          </c:spPr>
          <c:invertIfNegative val="0"/>
          <c:cat>
            <c:strRef>
              <c:f>Steps!$C$75:$G$75</c:f>
              <c:strCache>
                <c:ptCount val="5"/>
                <c:pt idx="0">
                  <c:v>LOWER THAN AVERAGE, 5 PEOPLE</c:v>
                </c:pt>
                <c:pt idx="1">
                  <c:v>LOWER THAN AVERAGE, 2 PEOPLE</c:v>
                </c:pt>
                <c:pt idx="2">
                  <c:v>AVERAGE HOUSE, 2.4 PEOPLE</c:v>
                </c:pt>
                <c:pt idx="3">
                  <c:v>VERY HIGH, 5 PEOPLE</c:v>
                </c:pt>
                <c:pt idx="4">
                  <c:v>VERY HIGH,2 PEOPLE</c:v>
                </c:pt>
              </c:strCache>
            </c:strRef>
          </c:cat>
          <c:val>
            <c:numRef>
              <c:f>Steps!$C$77:$G$77</c:f>
              <c:numCache>
                <c:formatCode>General</c:formatCode>
                <c:ptCount val="5"/>
                <c:pt idx="0">
                  <c:v>1.1292114431406086</c:v>
                </c:pt>
                <c:pt idx="1">
                  <c:v>1.4355090876257059</c:v>
                </c:pt>
                <c:pt idx="2" formatCode="0.00">
                  <c:v>1.8844628387096778</c:v>
                </c:pt>
                <c:pt idx="3">
                  <c:v>2.0950068304947753</c:v>
                </c:pt>
                <c:pt idx="4">
                  <c:v>2.6632756531840225</c:v>
                </c:pt>
              </c:numCache>
            </c:numRef>
          </c:val>
        </c:ser>
        <c:ser>
          <c:idx val="2"/>
          <c:order val="2"/>
          <c:tx>
            <c:strRef>
              <c:f>Steps!$B$78</c:f>
              <c:strCache>
                <c:ptCount val="1"/>
                <c:pt idx="0">
                  <c:v>MATERIAL GOODS</c:v>
                </c:pt>
              </c:strCache>
            </c:strRef>
          </c:tx>
          <c:spPr>
            <a:solidFill>
              <a:schemeClr val="tx2">
                <a:lumMod val="75000"/>
              </a:schemeClr>
            </a:solidFill>
          </c:spPr>
          <c:invertIfNegative val="0"/>
          <c:cat>
            <c:strRef>
              <c:f>Steps!$C$75:$G$75</c:f>
              <c:strCache>
                <c:ptCount val="5"/>
                <c:pt idx="0">
                  <c:v>LOWER THAN AVERAGE, 5 PEOPLE</c:v>
                </c:pt>
                <c:pt idx="1">
                  <c:v>LOWER THAN AVERAGE, 2 PEOPLE</c:v>
                </c:pt>
                <c:pt idx="2">
                  <c:v>AVERAGE HOUSE, 2.4 PEOPLE</c:v>
                </c:pt>
                <c:pt idx="3">
                  <c:v>VERY HIGH, 5 PEOPLE</c:v>
                </c:pt>
                <c:pt idx="4">
                  <c:v>VERY HIGH,2 PEOPLE</c:v>
                </c:pt>
              </c:strCache>
            </c:strRef>
          </c:cat>
          <c:val>
            <c:numRef>
              <c:f>Steps!$C$78:$G$78</c:f>
              <c:numCache>
                <c:formatCode>General</c:formatCode>
                <c:ptCount val="5"/>
                <c:pt idx="0">
                  <c:v>1.0781477318148138</c:v>
                </c:pt>
                <c:pt idx="1">
                  <c:v>2.282438766162878</c:v>
                </c:pt>
                <c:pt idx="2" formatCode="0.00">
                  <c:v>2.2581273548387095</c:v>
                </c:pt>
                <c:pt idx="3">
                  <c:v>2.0870523558915997</c:v>
                </c:pt>
                <c:pt idx="4">
                  <c:v>4.4182898720940376</c:v>
                </c:pt>
              </c:numCache>
            </c:numRef>
          </c:val>
        </c:ser>
        <c:ser>
          <c:idx val="3"/>
          <c:order val="3"/>
          <c:tx>
            <c:strRef>
              <c:f>Steps!$B$79</c:f>
              <c:strCache>
                <c:ptCount val="1"/>
                <c:pt idx="0">
                  <c:v>FOOD</c:v>
                </c:pt>
              </c:strCache>
            </c:strRef>
          </c:tx>
          <c:spPr>
            <a:solidFill>
              <a:srgbClr val="009900"/>
            </a:solidFill>
          </c:spPr>
          <c:invertIfNegative val="0"/>
          <c:cat>
            <c:strRef>
              <c:f>Steps!$C$75:$G$75</c:f>
              <c:strCache>
                <c:ptCount val="5"/>
                <c:pt idx="0">
                  <c:v>LOWER THAN AVERAGE, 5 PEOPLE</c:v>
                </c:pt>
                <c:pt idx="1">
                  <c:v>LOWER THAN AVERAGE, 2 PEOPLE</c:v>
                </c:pt>
                <c:pt idx="2">
                  <c:v>AVERAGE HOUSE, 2.4 PEOPLE</c:v>
                </c:pt>
                <c:pt idx="3">
                  <c:v>VERY HIGH, 5 PEOPLE</c:v>
                </c:pt>
                <c:pt idx="4">
                  <c:v>VERY HIGH,2 PEOPLE</c:v>
                </c:pt>
              </c:strCache>
            </c:strRef>
          </c:cat>
          <c:val>
            <c:numRef>
              <c:f>Steps!$C$79:$G$79</c:f>
              <c:numCache>
                <c:formatCode>General</c:formatCode>
                <c:ptCount val="5"/>
                <c:pt idx="0">
                  <c:v>1.9037390225792519</c:v>
                </c:pt>
                <c:pt idx="1">
                  <c:v>2.728685138709193</c:v>
                </c:pt>
                <c:pt idx="2" formatCode="0.00">
                  <c:v>2.7483870967741937</c:v>
                </c:pt>
                <c:pt idx="3">
                  <c:v>2.5498378900820646</c:v>
                </c:pt>
                <c:pt idx="4">
                  <c:v>3.6547576502150987</c:v>
                </c:pt>
              </c:numCache>
            </c:numRef>
          </c:val>
        </c:ser>
        <c:ser>
          <c:idx val="4"/>
          <c:order val="4"/>
          <c:tx>
            <c:strRef>
              <c:f>Steps!$B$80</c:f>
              <c:strCache>
                <c:ptCount val="1"/>
                <c:pt idx="0">
                  <c:v>TRAVEL</c:v>
                </c:pt>
              </c:strCache>
            </c:strRef>
          </c:tx>
          <c:spPr>
            <a:solidFill>
              <a:srgbClr val="FFC000"/>
            </a:solidFill>
          </c:spPr>
          <c:invertIfNegative val="0"/>
          <c:cat>
            <c:strRef>
              <c:f>Steps!$C$75:$G$75</c:f>
              <c:strCache>
                <c:ptCount val="5"/>
                <c:pt idx="0">
                  <c:v>LOWER THAN AVERAGE, 5 PEOPLE</c:v>
                </c:pt>
                <c:pt idx="1">
                  <c:v>LOWER THAN AVERAGE, 2 PEOPLE</c:v>
                </c:pt>
                <c:pt idx="2">
                  <c:v>AVERAGE HOUSE, 2.4 PEOPLE</c:v>
                </c:pt>
                <c:pt idx="3">
                  <c:v>VERY HIGH, 5 PEOPLE</c:v>
                </c:pt>
                <c:pt idx="4">
                  <c:v>VERY HIGH,2 PEOPLE</c:v>
                </c:pt>
              </c:strCache>
            </c:strRef>
          </c:cat>
          <c:val>
            <c:numRef>
              <c:f>Steps!$C$80:$G$80</c:f>
              <c:numCache>
                <c:formatCode>General</c:formatCode>
                <c:ptCount val="5"/>
                <c:pt idx="0">
                  <c:v>2.1881260043109467</c:v>
                </c:pt>
                <c:pt idx="1">
                  <c:v>2.5422397192126729</c:v>
                </c:pt>
                <c:pt idx="2" formatCode="0.00">
                  <c:v>3.1838709677419357</c:v>
                </c:pt>
                <c:pt idx="3">
                  <c:v>4.5329042334981215</c:v>
                </c:pt>
                <c:pt idx="4">
                  <c:v>5.266483357486119</c:v>
                </c:pt>
              </c:numCache>
            </c:numRef>
          </c:val>
        </c:ser>
        <c:ser>
          <c:idx val="5"/>
          <c:order val="5"/>
          <c:tx>
            <c:strRef>
              <c:f>Steps!$B$81</c:f>
              <c:strCache>
                <c:ptCount val="1"/>
                <c:pt idx="0">
                  <c:v>HOUSE ENERGY</c:v>
                </c:pt>
              </c:strCache>
            </c:strRef>
          </c:tx>
          <c:spPr>
            <a:solidFill>
              <a:srgbClr val="FF0000"/>
            </a:solidFill>
          </c:spPr>
          <c:invertIfNegative val="0"/>
          <c:cat>
            <c:strRef>
              <c:f>Steps!$C$75:$G$75</c:f>
              <c:strCache>
                <c:ptCount val="5"/>
                <c:pt idx="0">
                  <c:v>LOWER THAN AVERAGE, 5 PEOPLE</c:v>
                </c:pt>
                <c:pt idx="1">
                  <c:v>LOWER THAN AVERAGE, 2 PEOPLE</c:v>
                </c:pt>
                <c:pt idx="2">
                  <c:v>AVERAGE HOUSE, 2.4 PEOPLE</c:v>
                </c:pt>
                <c:pt idx="3">
                  <c:v>VERY HIGH, 5 PEOPLE</c:v>
                </c:pt>
                <c:pt idx="4">
                  <c:v>VERY HIGH,2 PEOPLE</c:v>
                </c:pt>
              </c:strCache>
            </c:strRef>
          </c:cat>
          <c:val>
            <c:numRef>
              <c:f>Steps!$C$81:$G$81</c:f>
              <c:numCache>
                <c:formatCode>General</c:formatCode>
                <c:ptCount val="5"/>
                <c:pt idx="0">
                  <c:v>1.0861162385512937</c:v>
                </c:pt>
                <c:pt idx="1">
                  <c:v>2.2993080950563844</c:v>
                </c:pt>
                <c:pt idx="2" formatCode="0.00">
                  <c:v>2.403225806451613</c:v>
                </c:pt>
                <c:pt idx="3">
                  <c:v>1.3898946760485291</c:v>
                </c:pt>
                <c:pt idx="4">
                  <c:v>2.9424070522846035</c:v>
                </c:pt>
              </c:numCache>
            </c:numRef>
          </c:val>
        </c:ser>
        <c:dLbls>
          <c:showLegendKey val="0"/>
          <c:showVal val="0"/>
          <c:showCatName val="0"/>
          <c:showSerName val="0"/>
          <c:showPercent val="0"/>
          <c:showBubbleSize val="0"/>
        </c:dLbls>
        <c:gapWidth val="150"/>
        <c:overlap val="100"/>
        <c:axId val="39666432"/>
        <c:axId val="39667968"/>
      </c:barChart>
      <c:catAx>
        <c:axId val="396664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667968"/>
        <c:crosses val="autoZero"/>
        <c:auto val="1"/>
        <c:lblAlgn val="ctr"/>
        <c:lblOffset val="100"/>
        <c:noMultiLvlLbl val="0"/>
      </c:catAx>
      <c:valAx>
        <c:axId val="396679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Annual per capita emissions, CO2e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666432"/>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'Your Elephant'!$P$24</c:f>
              <c:strCache>
                <c:ptCount val="1"/>
                <c:pt idx="0">
                  <c:v>Public services</c:v>
                </c:pt>
              </c:strCache>
            </c:strRef>
          </c:tx>
          <c:spPr>
            <a:solidFill>
              <a:schemeClr val="tx1"/>
            </a:solidFill>
          </c:spPr>
          <c:invertIfNegative val="0"/>
          <c:val>
            <c:numRef>
              <c:f>'Your Elephant'!$Q$24:$R$24</c:f>
              <c:numCache>
                <c:formatCode>General</c:formatCode>
                <c:ptCount val="2"/>
                <c:pt idx="0" formatCode="0.00">
                  <c:v>2.6223939165600409</c:v>
                </c:pt>
                <c:pt idx="1">
                  <c:v>2.63</c:v>
                </c:pt>
              </c:numCache>
            </c:numRef>
          </c:val>
        </c:ser>
        <c:ser>
          <c:idx val="1"/>
          <c:order val="1"/>
          <c:tx>
            <c:strRef>
              <c:f>'Your Elephant'!$E$2</c:f>
              <c:strCache>
                <c:ptCount val="1"/>
                <c:pt idx="0">
                  <c:v>the average UK carbon footprint…</c:v>
                </c:pt>
              </c:strCache>
            </c:strRef>
          </c:tx>
          <c:spPr>
            <a:solidFill>
              <a:schemeClr val="accent1">
                <a:lumMod val="75000"/>
              </a:schemeClr>
            </a:solidFill>
          </c:spPr>
          <c:invertIfNegative val="0"/>
          <c:val>
            <c:numRef>
              <c:f>'Your Elephant'!$M$4:$N$4</c:f>
              <c:numCache>
                <c:formatCode>General</c:formatCode>
                <c:ptCount val="2"/>
              </c:numCache>
            </c:numRef>
          </c:val>
        </c:ser>
        <c:ser>
          <c:idx val="2"/>
          <c:order val="2"/>
          <c:tx>
            <c:strRef>
              <c:f>'Your Elephant'!#REF!</c:f>
              <c:strCache>
                <c:ptCount val="1"/>
                <c:pt idx="0">
                  <c:v>#REF!</c:v>
                </c:pt>
              </c:strCache>
            </c:strRef>
          </c:tx>
          <c:spPr>
            <a:solidFill>
              <a:srgbClr val="009900"/>
            </a:solidFill>
          </c:spPr>
          <c:invertIfNegative val="0"/>
          <c:val>
            <c:numRef>
              <c:f>'Your Elephant'!$M$5:$N$5</c:f>
              <c:numCache>
                <c:formatCode>General</c:formatCode>
                <c:ptCount val="2"/>
              </c:numCache>
            </c:numRef>
          </c:val>
        </c:ser>
        <c:ser>
          <c:idx val="3"/>
          <c:order val="3"/>
          <c:tx>
            <c:strRef>
              <c:f>'Your Elephant'!#REF!</c:f>
              <c:strCache>
                <c:ptCount val="1"/>
                <c:pt idx="0">
                  <c:v>#REF!</c:v>
                </c:pt>
              </c:strCache>
            </c:strRef>
          </c:tx>
          <c:spPr>
            <a:solidFill>
              <a:srgbClr val="FFFF00"/>
            </a:solidFill>
          </c:spPr>
          <c:invertIfNegative val="0"/>
          <c:val>
            <c:numRef>
              <c:f>'Your Elephant'!$M$6:$N$6</c:f>
              <c:numCache>
                <c:formatCode>General</c:formatCode>
                <c:ptCount val="2"/>
              </c:numCache>
            </c:numRef>
          </c:val>
        </c:ser>
        <c:ser>
          <c:idx val="4"/>
          <c:order val="4"/>
          <c:tx>
            <c:strRef>
              <c:f>ELEPHANT!#REF!</c:f>
              <c:strCache>
                <c:ptCount val="1"/>
                <c:pt idx="0">
                  <c:v>#REF!</c:v>
                </c:pt>
              </c:strCache>
            </c:strRef>
          </c:tx>
          <c:spPr>
            <a:solidFill>
              <a:srgbClr val="FF0000"/>
            </a:solidFill>
          </c:spPr>
          <c:invertIfNegative val="0"/>
          <c:val>
            <c:numRef>
              <c:f>'Your Elephant'!$M$7:$N$7</c:f>
              <c:numCache>
                <c:formatCode>General</c:formatCode>
                <c:ptCount val="2"/>
              </c:numCache>
            </c:numRef>
          </c:val>
        </c:ser>
        <c:dLbls>
          <c:showLegendKey val="0"/>
          <c:showVal val="0"/>
          <c:showCatName val="0"/>
          <c:showSerName val="0"/>
          <c:showPercent val="0"/>
          <c:showBubbleSize val="0"/>
        </c:dLbls>
        <c:gapWidth val="150"/>
        <c:overlap val="100"/>
        <c:axId val="39790080"/>
        <c:axId val="39792000"/>
      </c:barChart>
      <c:catAx>
        <c:axId val="397900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1:variants, 2: average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792000"/>
        <c:crosses val="autoZero"/>
        <c:auto val="1"/>
        <c:lblAlgn val="ctr"/>
        <c:lblOffset val="100"/>
        <c:noMultiLvlLbl val="0"/>
      </c:catAx>
      <c:valAx>
        <c:axId val="3979200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790080"/>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732687922206478"/>
          <c:y val="0.1742835697450387"/>
          <c:w val="0.43575061314057068"/>
          <c:h val="0.72074121882305742"/>
        </c:manualLayout>
      </c:layout>
      <c:barChart>
        <c:barDir val="col"/>
        <c:grouping val="stacked"/>
        <c:varyColors val="0"/>
        <c:ser>
          <c:idx val="6"/>
          <c:order val="0"/>
          <c:tx>
            <c:strRef>
              <c:f>'Your Elephant'!$B$12</c:f>
              <c:strCache>
                <c:ptCount val="1"/>
                <c:pt idx="0">
                  <c:v>NE</c:v>
                </c:pt>
              </c:strCache>
            </c:strRef>
          </c:tx>
          <c:invertIfNegative val="0"/>
          <c:cat>
            <c:strRef>
              <c:f>'Your Elephant'!$D$5:$E$5</c:f>
              <c:strCache>
                <c:ptCount val="2"/>
                <c:pt idx="0">
                  <c:v>YOUR CHOICES</c:v>
                </c:pt>
                <c:pt idx="1">
                  <c:v>AVERAGE</c:v>
                </c:pt>
              </c:strCache>
            </c:strRef>
          </c:cat>
          <c:val>
            <c:numRef>
              <c:f>'Your Elephant'!$D$12:$E$12</c:f>
              <c:numCache>
                <c:formatCode>0.0</c:formatCode>
                <c:ptCount val="2"/>
                <c:pt idx="0">
                  <c:v>0</c:v>
                </c:pt>
                <c:pt idx="1">
                  <c:v>0</c:v>
                </c:pt>
              </c:numCache>
            </c:numRef>
          </c:val>
        </c:ser>
        <c:ser>
          <c:idx val="5"/>
          <c:order val="1"/>
          <c:tx>
            <c:strRef>
              <c:f>'Your Elephant'!$B$11</c:f>
              <c:strCache>
                <c:ptCount val="1"/>
                <c:pt idx="0">
                  <c:v>PS</c:v>
                </c:pt>
              </c:strCache>
            </c:strRef>
          </c:tx>
          <c:spPr>
            <a:gradFill flip="none" rotWithShape="1">
              <a:gsLst>
                <a:gs pos="0">
                  <a:schemeClr val="tx1">
                    <a:lumMod val="85000"/>
                    <a:lumOff val="15000"/>
                    <a:tint val="66000"/>
                    <a:satMod val="160000"/>
                  </a:schemeClr>
                </a:gs>
                <a:gs pos="50000">
                  <a:schemeClr val="tx1">
                    <a:lumMod val="85000"/>
                    <a:lumOff val="15000"/>
                    <a:tint val="44500"/>
                    <a:satMod val="160000"/>
                  </a:schemeClr>
                </a:gs>
                <a:gs pos="100000">
                  <a:schemeClr val="tx1">
                    <a:lumMod val="85000"/>
                    <a:lumOff val="15000"/>
                    <a:tint val="23500"/>
                    <a:satMod val="160000"/>
                  </a:schemeClr>
                </a:gs>
              </a:gsLst>
              <a:lin ang="0" scaled="1"/>
              <a:tileRect/>
            </a:gradFill>
          </c:spPr>
          <c:invertIfNegative val="0"/>
          <c:cat>
            <c:strRef>
              <c:f>'Your Elephant'!$D$5:$E$5</c:f>
              <c:strCache>
                <c:ptCount val="2"/>
                <c:pt idx="0">
                  <c:v>YOUR CHOICES</c:v>
                </c:pt>
                <c:pt idx="1">
                  <c:v>AVERAGE</c:v>
                </c:pt>
              </c:strCache>
            </c:strRef>
          </c:cat>
          <c:val>
            <c:numRef>
              <c:f>'Your Elephant'!$D$11:$E$11</c:f>
              <c:numCache>
                <c:formatCode>0.0</c:formatCode>
                <c:ptCount val="2"/>
                <c:pt idx="0">
                  <c:v>2.6304347826086958</c:v>
                </c:pt>
                <c:pt idx="1">
                  <c:v>2.6304347826086958</c:v>
                </c:pt>
              </c:numCache>
            </c:numRef>
          </c:val>
        </c:ser>
        <c:ser>
          <c:idx val="4"/>
          <c:order val="2"/>
          <c:tx>
            <c:strRef>
              <c:f>'Your Elephant'!$B$10</c:f>
              <c:strCache>
                <c:ptCount val="1"/>
                <c:pt idx="0">
                  <c:v>G&amp;S</c:v>
                </c:pt>
              </c:strCache>
            </c:strRef>
          </c:tx>
          <c:spPr>
            <a:gradFill flip="none" rotWithShape="1">
              <a:gsLst>
                <a:gs pos="0">
                  <a:schemeClr val="accent5">
                    <a:shade val="30000"/>
                    <a:satMod val="115000"/>
                    <a:lumMod val="80000"/>
                  </a:schemeClr>
                </a:gs>
                <a:gs pos="50000">
                  <a:schemeClr val="accent5">
                    <a:lumMod val="75000"/>
                    <a:shade val="67500"/>
                    <a:satMod val="115000"/>
                  </a:schemeClr>
                </a:gs>
                <a:gs pos="100000">
                  <a:schemeClr val="accent5">
                    <a:lumMod val="75000"/>
                    <a:shade val="100000"/>
                    <a:satMod val="115000"/>
                  </a:schemeClr>
                </a:gs>
              </a:gsLst>
              <a:lin ang="0" scaled="1"/>
              <a:tileRect/>
            </a:gradFill>
          </c:spPr>
          <c:invertIfNegative val="0"/>
          <c:cat>
            <c:strRef>
              <c:f>'Your Elephant'!$D$5:$E$5</c:f>
              <c:strCache>
                <c:ptCount val="2"/>
                <c:pt idx="0">
                  <c:v>YOUR CHOICES</c:v>
                </c:pt>
                <c:pt idx="1">
                  <c:v>AVERAGE</c:v>
                </c:pt>
              </c:strCache>
            </c:strRef>
          </c:cat>
          <c:val>
            <c:numRef>
              <c:f>'Your Elephant'!$D$10:$E$10</c:f>
              <c:numCache>
                <c:formatCode>0.0</c:formatCode>
                <c:ptCount val="2"/>
                <c:pt idx="0">
                  <c:v>4.3250000000000002</c:v>
                </c:pt>
                <c:pt idx="1">
                  <c:v>4.34</c:v>
                </c:pt>
              </c:numCache>
            </c:numRef>
          </c:val>
        </c:ser>
        <c:ser>
          <c:idx val="3"/>
          <c:order val="3"/>
          <c:tx>
            <c:strRef>
              <c:f>'Your Elephant'!$B$9</c:f>
              <c:strCache>
                <c:ptCount val="1"/>
                <c:pt idx="0">
                  <c:v>F</c:v>
                </c:pt>
              </c:strCache>
            </c:strRef>
          </c:tx>
          <c:spPr>
            <a:gradFill flip="none" rotWithShape="1">
              <a:gsLst>
                <a:gs pos="0">
                  <a:srgbClr val="00B050">
                    <a:shade val="30000"/>
                    <a:satMod val="115000"/>
                    <a:lumMod val="95000"/>
                    <a:lumOff val="5000"/>
                  </a:srgbClr>
                </a:gs>
                <a:gs pos="50000">
                  <a:srgbClr val="00B050">
                    <a:shade val="67500"/>
                    <a:satMod val="115000"/>
                  </a:srgbClr>
                </a:gs>
                <a:gs pos="100000">
                  <a:srgbClr val="00B05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Elephant'!$D$9:$E$9</c:f>
              <c:numCache>
                <c:formatCode>0.0</c:formatCode>
                <c:ptCount val="2"/>
                <c:pt idx="0">
                  <c:v>0.4596159999999998</c:v>
                </c:pt>
                <c:pt idx="1">
                  <c:v>3.05</c:v>
                </c:pt>
              </c:numCache>
            </c:numRef>
          </c:val>
        </c:ser>
        <c:ser>
          <c:idx val="2"/>
          <c:order val="4"/>
          <c:tx>
            <c:strRef>
              <c:f>'Your Elephant'!$B$8</c:f>
              <c:strCache>
                <c:ptCount val="1"/>
                <c:pt idx="0">
                  <c:v>FLY</c:v>
                </c:pt>
              </c:strCache>
            </c:strRef>
          </c:tx>
          <c:spPr>
            <a:gradFill flip="none" rotWithShape="1">
              <a:gsLst>
                <a:gs pos="0">
                  <a:srgbClr val="FFFF00">
                    <a:shade val="30000"/>
                    <a:satMod val="115000"/>
                    <a:lumMod val="90000"/>
                    <a:lumOff val="10000"/>
                  </a:srgbClr>
                </a:gs>
                <a:gs pos="50000">
                  <a:srgbClr val="FFFF00">
                    <a:shade val="67500"/>
                    <a:satMod val="115000"/>
                  </a:srgbClr>
                </a:gs>
                <a:gs pos="100000">
                  <a:srgbClr val="FFFF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Elephant'!$D$8:$E$8</c:f>
              <c:numCache>
                <c:formatCode>0.0</c:formatCode>
                <c:ptCount val="2"/>
                <c:pt idx="0">
                  <c:v>0.79799999999999993</c:v>
                </c:pt>
                <c:pt idx="1">
                  <c:v>0.78</c:v>
                </c:pt>
              </c:numCache>
            </c:numRef>
          </c:val>
        </c:ser>
        <c:ser>
          <c:idx val="1"/>
          <c:order val="5"/>
          <c:tx>
            <c:strRef>
              <c:f>'Your Elephant'!$B$7</c:f>
              <c:strCache>
                <c:ptCount val="1"/>
                <c:pt idx="0">
                  <c:v>TRA</c:v>
                </c:pt>
              </c:strCache>
            </c:strRef>
          </c:tx>
          <c:spPr>
            <a:gradFill flip="none" rotWithShape="1">
              <a:gsLst>
                <a:gs pos="0">
                  <a:srgbClr val="FFC000">
                    <a:shade val="30000"/>
                    <a:satMod val="115000"/>
                    <a:lumMod val="95000"/>
                    <a:lumOff val="5000"/>
                  </a:srgbClr>
                </a:gs>
                <a:gs pos="50000">
                  <a:srgbClr val="FFC000">
                    <a:shade val="67500"/>
                    <a:satMod val="115000"/>
                  </a:srgbClr>
                </a:gs>
                <a:gs pos="100000">
                  <a:srgbClr val="FFC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Elephant'!$D$7:$E$7</c:f>
              <c:numCache>
                <c:formatCode>0.0</c:formatCode>
                <c:ptCount val="2"/>
                <c:pt idx="0">
                  <c:v>2.4538434782608691</c:v>
                </c:pt>
                <c:pt idx="1">
                  <c:v>2.59</c:v>
                </c:pt>
              </c:numCache>
            </c:numRef>
          </c:val>
        </c:ser>
        <c:ser>
          <c:idx val="0"/>
          <c:order val="6"/>
          <c:tx>
            <c:strRef>
              <c:f>'Your Elephant'!$B$6</c:f>
              <c:strCache>
                <c:ptCount val="1"/>
                <c:pt idx="0">
                  <c:v>HE</c:v>
                </c:pt>
              </c:strCache>
            </c:strRef>
          </c:tx>
          <c:spPr>
            <a:gradFill flip="none" rotWithShape="1">
              <a:gsLst>
                <a:gs pos="0">
                  <a:srgbClr val="CC0000">
                    <a:shade val="30000"/>
                    <a:satMod val="115000"/>
                    <a:lumMod val="95000"/>
                    <a:lumOff val="5000"/>
                  </a:srgbClr>
                </a:gs>
                <a:gs pos="50000">
                  <a:srgbClr val="CC0000">
                    <a:shade val="67500"/>
                    <a:satMod val="115000"/>
                  </a:srgbClr>
                </a:gs>
                <a:gs pos="100000">
                  <a:srgbClr val="CC0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Elephant'!$D$6:$E$6</c:f>
              <c:numCache>
                <c:formatCode>0.0</c:formatCode>
                <c:ptCount val="2"/>
                <c:pt idx="0">
                  <c:v>2.4424325217391307</c:v>
                </c:pt>
                <c:pt idx="1">
                  <c:v>2.4700000000000002</c:v>
                </c:pt>
              </c:numCache>
            </c:numRef>
          </c:val>
        </c:ser>
        <c:dLbls>
          <c:showLegendKey val="0"/>
          <c:showVal val="0"/>
          <c:showCatName val="0"/>
          <c:showSerName val="0"/>
          <c:showPercent val="0"/>
          <c:showBubbleSize val="0"/>
        </c:dLbls>
        <c:gapWidth val="70"/>
        <c:overlap val="100"/>
        <c:axId val="40116224"/>
        <c:axId val="40117760"/>
      </c:barChart>
      <c:catAx>
        <c:axId val="40116224"/>
        <c:scaling>
          <c:orientation val="minMax"/>
        </c:scaling>
        <c:delete val="0"/>
        <c:axPos val="b"/>
        <c:numFmt formatCode="General" sourceLinked="0"/>
        <c:majorTickMark val="out"/>
        <c:minorTickMark val="none"/>
        <c:tickLblPos val="nextTo"/>
        <c:crossAx val="40117760"/>
        <c:crosses val="autoZero"/>
        <c:auto val="1"/>
        <c:lblAlgn val="ctr"/>
        <c:lblOffset val="100"/>
        <c:noMultiLvlLbl val="0"/>
      </c:catAx>
      <c:valAx>
        <c:axId val="40117760"/>
        <c:scaling>
          <c:orientation val="minMax"/>
        </c:scaling>
        <c:delete val="0"/>
        <c:axPos val="l"/>
        <c:title>
          <c:tx>
            <c:rich>
              <a:bodyPr rot="-5400000" vert="horz"/>
              <a:lstStyle/>
              <a:p>
                <a:pPr>
                  <a:defRPr b="0"/>
                </a:pPr>
                <a:r>
                  <a:rPr lang="en-US" b="0"/>
                  <a:t>PERSONAL CARBON FOOTPRINT, TONNES CO2E PER YEAR</a:t>
                </a:r>
              </a:p>
            </c:rich>
          </c:tx>
          <c:layout>
            <c:manualLayout>
              <c:xMode val="edge"/>
              <c:yMode val="edge"/>
              <c:x val="0.2667124478292674"/>
              <c:y val="0.28468048993875794"/>
            </c:manualLayout>
          </c:layout>
          <c:overlay val="0"/>
        </c:title>
        <c:numFmt formatCode="0" sourceLinked="0"/>
        <c:majorTickMark val="out"/>
        <c:minorTickMark val="none"/>
        <c:tickLblPos val="nextTo"/>
        <c:crossAx val="40116224"/>
        <c:crosses val="autoZero"/>
        <c:crossBetween val="between"/>
      </c:valAx>
      <c:spPr>
        <a:noFill/>
      </c:spPr>
    </c:plotArea>
    <c:legend>
      <c:legendPos val="r"/>
      <c:layout>
        <c:manualLayout>
          <c:xMode val="edge"/>
          <c:yMode val="edge"/>
          <c:x val="5.0923454240351121E-2"/>
          <c:y val="0.40054173228346457"/>
          <c:w val="0.16322189234542409"/>
          <c:h val="0.30015485564304473"/>
        </c:manualLayout>
      </c:layout>
      <c:overlay val="0"/>
      <c:txPr>
        <a:bodyPr/>
        <a:lstStyle/>
        <a:p>
          <a:pPr>
            <a:defRPr sz="1100">
              <a:latin typeface="Calibri Light" panose="020F0302020204030204" pitchFamily="34" charset="0"/>
            </a:defRPr>
          </a:pPr>
          <a:endParaRPr lang="en-U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OVERVIEW!$B$24</c:f>
              <c:strCache>
                <c:ptCount val="1"/>
                <c:pt idx="0">
                  <c:v>PUB</c:v>
                </c:pt>
              </c:strCache>
            </c:strRef>
          </c:tx>
          <c:spPr>
            <a:solidFill>
              <a:schemeClr val="tx1"/>
            </a:solidFill>
          </c:spPr>
          <c:invertIfNegative val="0"/>
          <c:val>
            <c:numRef>
              <c:f>OVERVIEW!$C$24</c:f>
              <c:numCache>
                <c:formatCode>General</c:formatCode>
                <c:ptCount val="1"/>
                <c:pt idx="0">
                  <c:v>2.63</c:v>
                </c:pt>
              </c:numCache>
            </c:numRef>
          </c:val>
        </c:ser>
        <c:ser>
          <c:idx val="3"/>
          <c:order val="1"/>
          <c:tx>
            <c:strRef>
              <c:f>OVERVIEW!$B$25</c:f>
              <c:strCache>
                <c:ptCount val="1"/>
                <c:pt idx="0">
                  <c:v>G&amp;S</c:v>
                </c:pt>
              </c:strCache>
            </c:strRef>
          </c:tx>
          <c:spPr>
            <a:solidFill>
              <a:schemeClr val="accent1">
                <a:lumMod val="75000"/>
              </a:schemeClr>
            </a:solidFill>
          </c:spPr>
          <c:invertIfNegative val="0"/>
          <c:val>
            <c:numRef>
              <c:f>OVERVIEW!$C$25</c:f>
              <c:numCache>
                <c:formatCode>0.00</c:formatCode>
                <c:ptCount val="1"/>
                <c:pt idx="0">
                  <c:v>4.3899999999999997</c:v>
                </c:pt>
              </c:numCache>
            </c:numRef>
          </c:val>
        </c:ser>
        <c:ser>
          <c:idx val="4"/>
          <c:order val="2"/>
          <c:tx>
            <c:strRef>
              <c:f>OVERVIEW!$B$26</c:f>
              <c:strCache>
                <c:ptCount val="1"/>
                <c:pt idx="0">
                  <c:v>FOOD</c:v>
                </c:pt>
              </c:strCache>
            </c:strRef>
          </c:tx>
          <c:spPr>
            <a:solidFill>
              <a:srgbClr val="009900"/>
            </a:solidFill>
          </c:spPr>
          <c:invertIfNegative val="0"/>
          <c:val>
            <c:numRef>
              <c:f>OVERVIEW!$C$26</c:f>
              <c:numCache>
                <c:formatCode>0.00</c:formatCode>
                <c:ptCount val="1"/>
                <c:pt idx="0">
                  <c:v>3</c:v>
                </c:pt>
              </c:numCache>
            </c:numRef>
          </c:val>
        </c:ser>
        <c:ser>
          <c:idx val="5"/>
          <c:order val="3"/>
          <c:tx>
            <c:strRef>
              <c:f>OVERVIEW!$B$27</c:f>
              <c:strCache>
                <c:ptCount val="1"/>
                <c:pt idx="0">
                  <c:v>TRAV</c:v>
                </c:pt>
              </c:strCache>
            </c:strRef>
          </c:tx>
          <c:spPr>
            <a:solidFill>
              <a:srgbClr val="FFFF00"/>
            </a:solidFill>
          </c:spPr>
          <c:invertIfNegative val="0"/>
          <c:val>
            <c:numRef>
              <c:f>OVERVIEW!$C$27</c:f>
              <c:numCache>
                <c:formatCode>0.00</c:formatCode>
                <c:ptCount val="1"/>
                <c:pt idx="0">
                  <c:v>3.37</c:v>
                </c:pt>
              </c:numCache>
            </c:numRef>
          </c:val>
        </c:ser>
        <c:ser>
          <c:idx val="6"/>
          <c:order val="4"/>
          <c:tx>
            <c:strRef>
              <c:f>OVERVIEW!$B$28</c:f>
              <c:strCache>
                <c:ptCount val="1"/>
                <c:pt idx="0">
                  <c:v>HE</c:v>
                </c:pt>
              </c:strCache>
            </c:strRef>
          </c:tx>
          <c:spPr>
            <a:solidFill>
              <a:srgbClr val="FF0000"/>
            </a:solidFill>
          </c:spPr>
          <c:invertIfNegative val="0"/>
          <c:val>
            <c:numRef>
              <c:f>OVERVIEW!$C$28</c:f>
              <c:numCache>
                <c:formatCode>0.00</c:formatCode>
                <c:ptCount val="1"/>
                <c:pt idx="0">
                  <c:v>2.4700000000000002</c:v>
                </c:pt>
              </c:numCache>
            </c:numRef>
          </c:val>
        </c:ser>
        <c:dLbls>
          <c:showLegendKey val="0"/>
          <c:showVal val="0"/>
          <c:showCatName val="0"/>
          <c:showSerName val="0"/>
          <c:showPercent val="0"/>
          <c:showBubbleSize val="0"/>
        </c:dLbls>
        <c:gapWidth val="150"/>
        <c:overlap val="100"/>
        <c:axId val="90272896"/>
        <c:axId val="90274432"/>
      </c:barChart>
      <c:catAx>
        <c:axId val="90272896"/>
        <c:scaling>
          <c:orientation val="minMax"/>
        </c:scaling>
        <c:delete val="1"/>
        <c:axPos val="b"/>
        <c:majorTickMark val="out"/>
        <c:minorTickMark val="none"/>
        <c:tickLblPos val="none"/>
        <c:crossAx val="90274432"/>
        <c:crosses val="autoZero"/>
        <c:auto val="1"/>
        <c:lblAlgn val="ctr"/>
        <c:lblOffset val="100"/>
        <c:noMultiLvlLbl val="0"/>
      </c:catAx>
      <c:valAx>
        <c:axId val="9027443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0272896"/>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strRef>
              <c:f>ELEPHANT!#REF!</c:f>
              <c:strCache>
                <c:ptCount val="1"/>
                <c:pt idx="0">
                  <c:v>#REF!</c:v>
                </c:pt>
              </c:strCache>
            </c:strRef>
          </c:tx>
          <c:spPr>
            <a:solidFill>
              <a:schemeClr val="tx1"/>
            </a:solidFill>
          </c:spPr>
          <c:invertIfNegative val="0"/>
          <c:val>
            <c:numRef>
              <c:f>'Your Elephant'!$D$11:$E$11</c:f>
              <c:numCache>
                <c:formatCode>0.0</c:formatCode>
                <c:ptCount val="2"/>
                <c:pt idx="0">
                  <c:v>2.6304347826086958</c:v>
                </c:pt>
                <c:pt idx="1">
                  <c:v>2.6304347826086958</c:v>
                </c:pt>
              </c:numCache>
            </c:numRef>
          </c:val>
          <c:extLst>
            <c:ext xmlns:c15="http://schemas.microsoft.com/office/drawing/2012/chart" uri="{02D57815-91ED-43cb-92C2-25804820EDAC}">
              <c15:filteredCategoryTitle>
                <c15:cat>
                  <c:multiLvlStrRef>
                    <c:extLst>
                      <c:ext uri="{02D57815-91ED-43cb-92C2-25804820EDAC}">
                        <c15:formulaRef>
                          <c15:sqref>'Your Elephant'!#REF!</c15:sqref>
                        </c15:formulaRef>
                      </c:ext>
                    </c:extLst>
                  </c:multiLvlStrRef>
                </c15:cat>
              </c15:filteredCategoryTitle>
            </c:ext>
          </c:extLst>
        </c:ser>
        <c:ser>
          <c:idx val="2"/>
          <c:order val="1"/>
          <c:tx>
            <c:strRef>
              <c:f>ELEPHANT!#REF!</c:f>
              <c:strCache>
                <c:ptCount val="1"/>
                <c:pt idx="0">
                  <c:v>#REF!</c:v>
                </c:pt>
              </c:strCache>
            </c:strRef>
          </c:tx>
          <c:spPr>
            <a:solidFill>
              <a:srgbClr val="6E8090"/>
            </a:solidFill>
          </c:spPr>
          <c:invertIfNegative val="0"/>
          <c:val>
            <c:numRef>
              <c:f>'Your Elephant'!$O$13:$O$13</c:f>
              <c:numCache>
                <c:formatCode>0.00</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'Your Elephant'!#REF!</c15:sqref>
                        </c15:formulaRef>
                      </c:ext>
                    </c:extLst>
                  </c:multiLvlStrRef>
                </c15:cat>
              </c15:filteredCategoryTitle>
            </c:ext>
          </c:extLst>
        </c:ser>
        <c:ser>
          <c:idx val="3"/>
          <c:order val="2"/>
          <c:tx>
            <c:strRef>
              <c:f>ELEPHANT!#REF!</c:f>
              <c:strCache>
                <c:ptCount val="1"/>
                <c:pt idx="0">
                  <c:v>#REF!</c:v>
                </c:pt>
              </c:strCache>
            </c:strRef>
          </c:tx>
          <c:spPr>
            <a:solidFill>
              <a:schemeClr val="accent1">
                <a:lumMod val="60000"/>
                <a:lumOff val="40000"/>
              </a:schemeClr>
            </a:solidFill>
          </c:spPr>
          <c:invertIfNegative val="0"/>
          <c:val>
            <c:numRef>
              <c:f>'Your Elephant'!$D$10:$E$10</c:f>
              <c:numCache>
                <c:formatCode>0.0</c:formatCode>
                <c:ptCount val="2"/>
                <c:pt idx="0">
                  <c:v>4.3250000000000002</c:v>
                </c:pt>
                <c:pt idx="1">
                  <c:v>4.34</c:v>
                </c:pt>
              </c:numCache>
            </c:numRef>
          </c:val>
          <c:extLst>
            <c:ext xmlns:c15="http://schemas.microsoft.com/office/drawing/2012/chart" uri="{02D57815-91ED-43cb-92C2-25804820EDAC}">
              <c15:filteredCategoryTitle>
                <c15:cat>
                  <c:multiLvlStrRef>
                    <c:extLst>
                      <c:ext uri="{02D57815-91ED-43cb-92C2-25804820EDAC}">
                        <c15:formulaRef>
                          <c15:sqref>'Your Elephant'!#REF!</c15:sqref>
                        </c15:formulaRef>
                      </c:ext>
                    </c:extLst>
                  </c:multiLvlStrRef>
                </c15:cat>
              </c15:filteredCategoryTitle>
            </c:ext>
          </c:extLst>
        </c:ser>
        <c:ser>
          <c:idx val="4"/>
          <c:order val="3"/>
          <c:tx>
            <c:strRef>
              <c:f>ELEPHANT!#REF!</c:f>
              <c:strCache>
                <c:ptCount val="1"/>
                <c:pt idx="0">
                  <c:v>#REF!</c:v>
                </c:pt>
              </c:strCache>
            </c:strRef>
          </c:tx>
          <c:spPr>
            <a:solidFill>
              <a:schemeClr val="accent1">
                <a:lumMod val="50000"/>
              </a:schemeClr>
            </a:solidFill>
          </c:spPr>
          <c:invertIfNegative val="0"/>
          <c:val>
            <c:numRef>
              <c:f>'Your Elephant'!$O$15:$O$15</c:f>
              <c:numCache>
                <c:formatCode>0.00</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'Your Elephant'!#REF!</c15:sqref>
                        </c15:formulaRef>
                      </c:ext>
                    </c:extLst>
                  </c:multiLvlStrRef>
                </c15:cat>
              </c15:filteredCategoryTitle>
            </c:ext>
          </c:extLst>
        </c:ser>
        <c:ser>
          <c:idx val="5"/>
          <c:order val="4"/>
          <c:tx>
            <c:strRef>
              <c:f>ELEPHANT!#REF!</c:f>
              <c:strCache>
                <c:ptCount val="1"/>
                <c:pt idx="0">
                  <c:v>#REF!</c:v>
                </c:pt>
              </c:strCache>
            </c:strRef>
          </c:tx>
          <c:spPr>
            <a:solidFill>
              <a:schemeClr val="accent3">
                <a:lumMod val="75000"/>
              </a:schemeClr>
            </a:solidFill>
          </c:spPr>
          <c:invertIfNegative val="0"/>
          <c:val>
            <c:numRef>
              <c:f>'Your Elephant'!$O$16:$O$16</c:f>
              <c:numCache>
                <c:formatCode>0.00</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'Your Elephant'!#REF!</c15:sqref>
                        </c15:formulaRef>
                      </c:ext>
                    </c:extLst>
                  </c:multiLvlStrRef>
                </c15:cat>
              </c15:filteredCategoryTitle>
            </c:ext>
          </c:extLst>
        </c:ser>
        <c:ser>
          <c:idx val="6"/>
          <c:order val="5"/>
          <c:tx>
            <c:strRef>
              <c:f>ELEPHANT!#REF!</c:f>
              <c:strCache>
                <c:ptCount val="1"/>
                <c:pt idx="0">
                  <c:v>#REF!</c:v>
                </c:pt>
              </c:strCache>
            </c:strRef>
          </c:tx>
          <c:spPr>
            <a:solidFill>
              <a:schemeClr val="accent3">
                <a:lumMod val="50000"/>
              </a:schemeClr>
            </a:solidFill>
          </c:spPr>
          <c:invertIfNegative val="0"/>
          <c:val>
            <c:numRef>
              <c:f>'Your Elephant'!$O$17:$O$17</c:f>
              <c:numCache>
                <c:formatCode>0.00</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'Your Elephant'!#REF!</c15:sqref>
                        </c15:formulaRef>
                      </c:ext>
                    </c:extLst>
                  </c:multiLvlStrRef>
                </c15:cat>
              </c15:filteredCategoryTitle>
            </c:ext>
          </c:extLst>
        </c:ser>
        <c:ser>
          <c:idx val="7"/>
          <c:order val="6"/>
          <c:tx>
            <c:strRef>
              <c:f>ELEPHANT!#REF!</c:f>
              <c:strCache>
                <c:ptCount val="1"/>
                <c:pt idx="0">
                  <c:v>#REF!</c:v>
                </c:pt>
              </c:strCache>
            </c:strRef>
          </c:tx>
          <c:spPr>
            <a:solidFill>
              <a:srgbClr val="006600"/>
            </a:solidFill>
          </c:spPr>
          <c:invertIfNegative val="0"/>
          <c:val>
            <c:numRef>
              <c:f>ELEPHANT!#REF!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'Your Elephant'!#REF!</c15:sqref>
                        </c15:formulaRef>
                      </c:ext>
                    </c:extLst>
                  </c:multiLvlStrRef>
                </c15:cat>
              </c15:filteredCategoryTitle>
            </c:ext>
          </c:extLst>
        </c:ser>
        <c:ser>
          <c:idx val="8"/>
          <c:order val="7"/>
          <c:tx>
            <c:strRef>
              <c:f>ELEPHANT!#REF!</c:f>
              <c:strCache>
                <c:ptCount val="1"/>
                <c:pt idx="0">
                  <c:v>#REF!</c:v>
                </c:pt>
              </c:strCache>
            </c:strRef>
          </c:tx>
          <c:spPr>
            <a:solidFill>
              <a:srgbClr val="FFFF00"/>
            </a:solidFill>
          </c:spPr>
          <c:invertIfNegative val="0"/>
          <c:val>
            <c:numRef>
              <c:f>ELEPHANT!#REF!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'Your Elephant'!#REF!</c15:sqref>
                        </c15:formulaRef>
                      </c:ext>
                    </c:extLst>
                  </c:multiLvlStrRef>
                </c15:cat>
              </c15:filteredCategoryTitle>
            </c:ext>
          </c:extLst>
        </c:ser>
        <c:ser>
          <c:idx val="9"/>
          <c:order val="8"/>
          <c:tx>
            <c:strRef>
              <c:f>ELEPHANT!#REF!</c:f>
              <c:strCache>
                <c:ptCount val="1"/>
                <c:pt idx="0">
                  <c:v>#REF!</c:v>
                </c:pt>
              </c:strCache>
            </c:strRef>
          </c:tx>
          <c:spPr>
            <a:solidFill>
              <a:srgbClr val="FFC000"/>
            </a:solidFill>
          </c:spPr>
          <c:invertIfNegative val="0"/>
          <c:val>
            <c:numRef>
              <c:f>ELEPHANT!#REF!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'Your Elephant'!#REF!</c15:sqref>
                        </c15:formulaRef>
                      </c:ext>
                    </c:extLst>
                  </c:multiLvlStrRef>
                </c15:cat>
              </c15:filteredCategoryTitle>
            </c:ext>
          </c:extLst>
        </c:ser>
        <c:ser>
          <c:idx val="10"/>
          <c:order val="9"/>
          <c:tx>
            <c:strRef>
              <c:f>'Your Elephant'!$C$20</c:f>
              <c:strCache>
                <c:ptCount val="1"/>
              </c:strCache>
            </c:strRef>
          </c:tx>
          <c:spPr>
            <a:solidFill>
              <a:schemeClr val="accent6">
                <a:lumMod val="75000"/>
              </a:schemeClr>
            </a:solidFill>
          </c:spPr>
          <c:invertIfNegative val="0"/>
          <c:val>
            <c:numRef>
              <c:f>'Your Elephant'!$E$21:$G$21</c:f>
              <c:numCache>
                <c:formatCode>General</c:formatCode>
                <c:ptCount val="3"/>
              </c:numCache>
            </c:numRef>
          </c:val>
          <c:extLst>
            <c:ext xmlns:c15="http://schemas.microsoft.com/office/drawing/2012/chart" uri="{02D57815-91ED-43cb-92C2-25804820EDAC}">
              <c15:filteredCategoryTitle>
                <c15:cat>
                  <c:multiLvlStrRef>
                    <c:extLst>
                      <c:ext uri="{02D57815-91ED-43cb-92C2-25804820EDAC}">
                        <c15:formulaRef>
                          <c15:sqref>'Your Elephant'!#REF!</c15:sqref>
                        </c15:formulaRef>
                      </c:ext>
                    </c:extLst>
                  </c:multiLvlStrRef>
                </c15:cat>
              </c15:filteredCategoryTitle>
            </c:ext>
          </c:extLst>
        </c:ser>
        <c:ser>
          <c:idx val="11"/>
          <c:order val="10"/>
          <c:tx>
            <c:strRef>
              <c:f>'Your Elephant'!$C$22</c:f>
              <c:strCache>
                <c:ptCount val="1"/>
              </c:strCache>
            </c:strRef>
          </c:tx>
          <c:spPr>
            <a:solidFill>
              <a:schemeClr val="accent6">
                <a:lumMod val="50000"/>
              </a:schemeClr>
            </a:solidFill>
          </c:spPr>
          <c:invertIfNegative val="0"/>
          <c:val>
            <c:numRef>
              <c:f>'Your Elephant'!$E$22:$G$22</c:f>
              <c:numCache>
                <c:formatCode>General</c:formatCode>
                <c:ptCount val="3"/>
              </c:numCache>
            </c:numRef>
          </c:val>
          <c:extLst>
            <c:ext xmlns:c15="http://schemas.microsoft.com/office/drawing/2012/chart" uri="{02D57815-91ED-43cb-92C2-25804820EDAC}">
              <c15:filteredCategoryTitle>
                <c15:cat>
                  <c:multiLvlStrRef>
                    <c:extLst>
                      <c:ext uri="{02D57815-91ED-43cb-92C2-25804820EDAC}">
                        <c15:formulaRef>
                          <c15:sqref>'Your Elephant'!#REF!</c15:sqref>
                        </c15:formulaRef>
                      </c:ext>
                    </c:extLst>
                  </c:multiLvlStrRef>
                </c15:cat>
              </c15:filteredCategoryTitle>
            </c:ext>
          </c:extLst>
        </c:ser>
        <c:ser>
          <c:idx val="12"/>
          <c:order val="11"/>
          <c:tx>
            <c:strRef>
              <c:f>'Your Elephant'!$C$23</c:f>
              <c:strCache>
                <c:ptCount val="1"/>
              </c:strCache>
            </c:strRef>
          </c:tx>
          <c:spPr>
            <a:solidFill>
              <a:srgbClr val="FF9966"/>
            </a:solidFill>
          </c:spPr>
          <c:invertIfNegative val="0"/>
          <c:val>
            <c:numRef>
              <c:f>'Your Elephant'!$E$23:$G$23</c:f>
              <c:numCache>
                <c:formatCode>General</c:formatCode>
                <c:ptCount val="3"/>
              </c:numCache>
            </c:numRef>
          </c:val>
          <c:extLst>
            <c:ext xmlns:c15="http://schemas.microsoft.com/office/drawing/2012/chart" uri="{02D57815-91ED-43cb-92C2-25804820EDAC}">
              <c15:filteredCategoryTitle>
                <c15:cat>
                  <c:multiLvlStrRef>
                    <c:extLst>
                      <c:ext uri="{02D57815-91ED-43cb-92C2-25804820EDAC}">
                        <c15:formulaRef>
                          <c15:sqref>'Your Elephant'!#REF!</c15:sqref>
                        </c15:formulaRef>
                      </c:ext>
                    </c:extLst>
                  </c:multiLvlStrRef>
                </c15:cat>
              </c15:filteredCategoryTitle>
            </c:ext>
          </c:extLst>
        </c:ser>
        <c:ser>
          <c:idx val="13"/>
          <c:order val="12"/>
          <c:tx>
            <c:strRef>
              <c:f>'Your Elephant'!$C$24</c:f>
              <c:strCache>
                <c:ptCount val="1"/>
              </c:strCache>
            </c:strRef>
          </c:tx>
          <c:spPr>
            <a:solidFill>
              <a:srgbClr val="FF3300"/>
            </a:solidFill>
          </c:spPr>
          <c:invertIfNegative val="0"/>
          <c:val>
            <c:numRef>
              <c:f>'Your Elephant'!$E$24:$G$24</c:f>
              <c:numCache>
                <c:formatCode>General</c:formatCode>
                <c:ptCount val="3"/>
              </c:numCache>
            </c:numRef>
          </c:val>
          <c:extLst>
            <c:ext xmlns:c15="http://schemas.microsoft.com/office/drawing/2012/chart" uri="{02D57815-91ED-43cb-92C2-25804820EDAC}">
              <c15:filteredCategoryTitle>
                <c15:cat>
                  <c:multiLvlStrRef>
                    <c:extLst>
                      <c:ext uri="{02D57815-91ED-43cb-92C2-25804820EDAC}">
                        <c15:formulaRef>
                          <c15:sqref>'Your Elephant'!#REF!</c15:sqref>
                        </c15:formulaRef>
                      </c:ext>
                    </c:extLst>
                  </c:multiLvlStrRef>
                </c15:cat>
              </c15:filteredCategoryTitle>
            </c:ext>
          </c:extLst>
        </c:ser>
        <c:ser>
          <c:idx val="14"/>
          <c:order val="13"/>
          <c:tx>
            <c:strRef>
              <c:f>'Your Elephant'!$C$25</c:f>
              <c:strCache>
                <c:ptCount val="1"/>
              </c:strCache>
            </c:strRef>
          </c:tx>
          <c:spPr>
            <a:solidFill>
              <a:srgbClr val="CC0000"/>
            </a:solidFill>
          </c:spPr>
          <c:invertIfNegative val="0"/>
          <c:val>
            <c:numRef>
              <c:f>'Your Elephant'!$E$25:$G$25</c:f>
              <c:numCache>
                <c:formatCode>General</c:formatCode>
                <c:ptCount val="3"/>
              </c:numCache>
            </c:numRef>
          </c:val>
          <c:extLst>
            <c:ext xmlns:c15="http://schemas.microsoft.com/office/drawing/2012/chart" uri="{02D57815-91ED-43cb-92C2-25804820EDAC}">
              <c15:filteredCategoryTitle>
                <c15:cat>
                  <c:multiLvlStrRef>
                    <c:extLst>
                      <c:ext uri="{02D57815-91ED-43cb-92C2-25804820EDAC}">
                        <c15:formulaRef>
                          <c15:sqref>'Your Elephant'!#REF!</c15:sqref>
                        </c15:formulaRef>
                      </c:ext>
                    </c:extLst>
                  </c:multiLvlStrRef>
                </c15:cat>
              </c15:filteredCategoryTitle>
            </c:ext>
          </c:extLst>
        </c:ser>
        <c:ser>
          <c:idx val="15"/>
          <c:order val="14"/>
          <c:tx>
            <c:v>Negative emissions</c:v>
          </c:tx>
          <c:spPr>
            <a:solidFill>
              <a:schemeClr val="accent4">
                <a:lumMod val="75000"/>
              </a:schemeClr>
            </a:solidFill>
          </c:spPr>
          <c:invertIfNegative val="0"/>
          <c:val>
            <c:numRef>
              <c:f>'Your Elephant'!$D$12</c:f>
              <c:numCache>
                <c:formatCode>0.0</c:formatCode>
                <c:ptCount val="1"/>
                <c:pt idx="0">
                  <c:v>0</c:v>
                </c:pt>
              </c:numCache>
            </c:numRef>
          </c:val>
        </c:ser>
        <c:dLbls>
          <c:showLegendKey val="0"/>
          <c:showVal val="0"/>
          <c:showCatName val="0"/>
          <c:showSerName val="0"/>
          <c:showPercent val="0"/>
          <c:showBubbleSize val="0"/>
        </c:dLbls>
        <c:gapWidth val="150"/>
        <c:overlap val="100"/>
        <c:axId val="41535360"/>
        <c:axId val="41536896"/>
      </c:barChart>
      <c:catAx>
        <c:axId val="41535360"/>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1536896"/>
        <c:crosses val="autoZero"/>
        <c:auto val="1"/>
        <c:lblAlgn val="ctr"/>
        <c:lblOffset val="100"/>
        <c:noMultiLvlLbl val="0"/>
      </c:catAx>
      <c:valAx>
        <c:axId val="4153689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Greenhouse gas emissions per person per year, tonnes CO2e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1535360"/>
        <c:crosses val="autoZero"/>
        <c:crossBetween val="between"/>
      </c:valAx>
    </c:plotArea>
    <c:legend>
      <c:legendPos val="t"/>
      <c:layout>
        <c:manualLayout>
          <c:xMode val="edge"/>
          <c:yMode val="edge"/>
          <c:x val="3.9274457912677939E-2"/>
          <c:y val="4.3546114875175491E-2"/>
          <c:w val="0.93597434138160118"/>
          <c:h val="0.33023744125007631"/>
        </c:manualLayout>
      </c:layout>
      <c:overlay val="0"/>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OVERVIEW!$B$24</c:f>
              <c:strCache>
                <c:ptCount val="1"/>
                <c:pt idx="0">
                  <c:v>PUB</c:v>
                </c:pt>
              </c:strCache>
            </c:strRef>
          </c:tx>
          <c:spPr>
            <a:solidFill>
              <a:schemeClr val="tx1"/>
            </a:solidFill>
          </c:spPr>
          <c:invertIfNegative val="0"/>
          <c:val>
            <c:numRef>
              <c:f>OVERVIEW!$C$24</c:f>
              <c:numCache>
                <c:formatCode>General</c:formatCode>
                <c:ptCount val="1"/>
                <c:pt idx="0">
                  <c:v>2.63</c:v>
                </c:pt>
              </c:numCache>
            </c:numRef>
          </c:val>
        </c:ser>
        <c:ser>
          <c:idx val="3"/>
          <c:order val="1"/>
          <c:tx>
            <c:strRef>
              <c:f>OVERVIEW!$B$25</c:f>
              <c:strCache>
                <c:ptCount val="1"/>
                <c:pt idx="0">
                  <c:v>G&amp;S</c:v>
                </c:pt>
              </c:strCache>
            </c:strRef>
          </c:tx>
          <c:spPr>
            <a:solidFill>
              <a:schemeClr val="accent1">
                <a:lumMod val="75000"/>
              </a:schemeClr>
            </a:solidFill>
          </c:spPr>
          <c:invertIfNegative val="0"/>
          <c:val>
            <c:numRef>
              <c:f>OVERVIEW!$C$25</c:f>
              <c:numCache>
                <c:formatCode>0.00</c:formatCode>
                <c:ptCount val="1"/>
                <c:pt idx="0">
                  <c:v>4.3899999999999997</c:v>
                </c:pt>
              </c:numCache>
            </c:numRef>
          </c:val>
        </c:ser>
        <c:ser>
          <c:idx val="4"/>
          <c:order val="2"/>
          <c:tx>
            <c:strRef>
              <c:f>OVERVIEW!$B$26</c:f>
              <c:strCache>
                <c:ptCount val="1"/>
                <c:pt idx="0">
                  <c:v>FOOD</c:v>
                </c:pt>
              </c:strCache>
            </c:strRef>
          </c:tx>
          <c:spPr>
            <a:solidFill>
              <a:srgbClr val="009900"/>
            </a:solidFill>
          </c:spPr>
          <c:invertIfNegative val="0"/>
          <c:val>
            <c:numRef>
              <c:f>OVERVIEW!$C$26</c:f>
              <c:numCache>
                <c:formatCode>0.00</c:formatCode>
                <c:ptCount val="1"/>
                <c:pt idx="0">
                  <c:v>3</c:v>
                </c:pt>
              </c:numCache>
            </c:numRef>
          </c:val>
        </c:ser>
        <c:ser>
          <c:idx val="5"/>
          <c:order val="3"/>
          <c:tx>
            <c:strRef>
              <c:f>OVERVIEW!$B$27</c:f>
              <c:strCache>
                <c:ptCount val="1"/>
                <c:pt idx="0">
                  <c:v>TRAV</c:v>
                </c:pt>
              </c:strCache>
            </c:strRef>
          </c:tx>
          <c:spPr>
            <a:solidFill>
              <a:srgbClr val="FFFF00"/>
            </a:solidFill>
          </c:spPr>
          <c:invertIfNegative val="0"/>
          <c:val>
            <c:numRef>
              <c:f>OVERVIEW!$C$27</c:f>
              <c:numCache>
                <c:formatCode>0.00</c:formatCode>
                <c:ptCount val="1"/>
                <c:pt idx="0">
                  <c:v>3.37</c:v>
                </c:pt>
              </c:numCache>
            </c:numRef>
          </c:val>
        </c:ser>
        <c:ser>
          <c:idx val="6"/>
          <c:order val="4"/>
          <c:tx>
            <c:strRef>
              <c:f>OVERVIEW!$B$28</c:f>
              <c:strCache>
                <c:ptCount val="1"/>
                <c:pt idx="0">
                  <c:v>HE</c:v>
                </c:pt>
              </c:strCache>
            </c:strRef>
          </c:tx>
          <c:spPr>
            <a:solidFill>
              <a:srgbClr val="FF0000"/>
            </a:solidFill>
          </c:spPr>
          <c:invertIfNegative val="0"/>
          <c:val>
            <c:numRef>
              <c:f>OVERVIEW!$C$28</c:f>
              <c:numCache>
                <c:formatCode>0.00</c:formatCode>
                <c:ptCount val="1"/>
                <c:pt idx="0">
                  <c:v>2.4700000000000002</c:v>
                </c:pt>
              </c:numCache>
            </c:numRef>
          </c:val>
        </c:ser>
        <c:dLbls>
          <c:showLegendKey val="0"/>
          <c:showVal val="0"/>
          <c:showCatName val="0"/>
          <c:showSerName val="0"/>
          <c:showPercent val="0"/>
          <c:showBubbleSize val="0"/>
        </c:dLbls>
        <c:gapWidth val="150"/>
        <c:overlap val="100"/>
        <c:axId val="41475456"/>
        <c:axId val="41477248"/>
      </c:barChart>
      <c:catAx>
        <c:axId val="41475456"/>
        <c:scaling>
          <c:orientation val="minMax"/>
        </c:scaling>
        <c:delete val="1"/>
        <c:axPos val="b"/>
        <c:majorTickMark val="out"/>
        <c:minorTickMark val="none"/>
        <c:tickLblPos val="none"/>
        <c:crossAx val="41477248"/>
        <c:crosses val="autoZero"/>
        <c:auto val="1"/>
        <c:lblAlgn val="ctr"/>
        <c:lblOffset val="100"/>
        <c:noMultiLvlLbl val="0"/>
      </c:catAx>
      <c:valAx>
        <c:axId val="4147724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1475456"/>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GB"/>
              <a:t>Emissions per cap per year</a:t>
            </a:r>
          </a:p>
        </c:rich>
      </c:tx>
      <c:overlay val="1"/>
    </c:title>
    <c:autoTitleDeleted val="0"/>
    <c:plotArea>
      <c:layout/>
      <c:barChart>
        <c:barDir val="col"/>
        <c:grouping val="stacked"/>
        <c:varyColors val="0"/>
        <c:ser>
          <c:idx val="0"/>
          <c:order val="0"/>
          <c:tx>
            <c:strRef>
              <c:f>'Your Elephant'!$P$24</c:f>
              <c:strCache>
                <c:ptCount val="1"/>
                <c:pt idx="0">
                  <c:v>Public services</c:v>
                </c:pt>
              </c:strCache>
            </c:strRef>
          </c:tx>
          <c:spPr>
            <a:solidFill>
              <a:schemeClr val="tx1"/>
            </a:solidFill>
          </c:spPr>
          <c:invertIfNegative val="0"/>
          <c:val>
            <c:numRef>
              <c:f>'Your Elephant'!$Q$24:$R$24</c:f>
              <c:numCache>
                <c:formatCode>General</c:formatCode>
                <c:ptCount val="2"/>
                <c:pt idx="0" formatCode="0.00">
                  <c:v>2.6223939165600409</c:v>
                </c:pt>
                <c:pt idx="1">
                  <c:v>2.63</c:v>
                </c:pt>
              </c:numCache>
            </c:numRef>
          </c:val>
        </c:ser>
        <c:ser>
          <c:idx val="1"/>
          <c:order val="1"/>
          <c:tx>
            <c:strRef>
              <c:f>'Your Elephant'!$E$2</c:f>
              <c:strCache>
                <c:ptCount val="1"/>
                <c:pt idx="0">
                  <c:v>the average UK carbon footprint…</c:v>
                </c:pt>
              </c:strCache>
            </c:strRef>
          </c:tx>
          <c:spPr>
            <a:solidFill>
              <a:schemeClr val="accent1">
                <a:lumMod val="75000"/>
              </a:schemeClr>
            </a:solidFill>
          </c:spPr>
          <c:invertIfNegative val="0"/>
          <c:val>
            <c:numRef>
              <c:f>'Your Elephant'!$M$4:$N$4</c:f>
              <c:numCache>
                <c:formatCode>General</c:formatCode>
                <c:ptCount val="2"/>
              </c:numCache>
            </c:numRef>
          </c:val>
        </c:ser>
        <c:ser>
          <c:idx val="2"/>
          <c:order val="2"/>
          <c:tx>
            <c:strRef>
              <c:f>'Your Elephant'!#REF!</c:f>
              <c:strCache>
                <c:ptCount val="1"/>
                <c:pt idx="0">
                  <c:v>#REF!</c:v>
                </c:pt>
              </c:strCache>
            </c:strRef>
          </c:tx>
          <c:spPr>
            <a:solidFill>
              <a:srgbClr val="009900"/>
            </a:solidFill>
          </c:spPr>
          <c:invertIfNegative val="0"/>
          <c:val>
            <c:numRef>
              <c:f>'Your Elephant'!$M$5:$N$5</c:f>
              <c:numCache>
                <c:formatCode>General</c:formatCode>
                <c:ptCount val="2"/>
              </c:numCache>
            </c:numRef>
          </c:val>
        </c:ser>
        <c:ser>
          <c:idx val="3"/>
          <c:order val="3"/>
          <c:tx>
            <c:strRef>
              <c:f>'Your Elephant'!#REF!</c:f>
              <c:strCache>
                <c:ptCount val="1"/>
                <c:pt idx="0">
                  <c:v>#REF!</c:v>
                </c:pt>
              </c:strCache>
            </c:strRef>
          </c:tx>
          <c:spPr>
            <a:solidFill>
              <a:srgbClr val="FFFF00"/>
            </a:solidFill>
          </c:spPr>
          <c:invertIfNegative val="0"/>
          <c:val>
            <c:numRef>
              <c:f>'Your Elephant'!$M$6:$N$6</c:f>
              <c:numCache>
                <c:formatCode>General</c:formatCode>
                <c:ptCount val="2"/>
              </c:numCache>
            </c:numRef>
          </c:val>
        </c:ser>
        <c:ser>
          <c:idx val="4"/>
          <c:order val="4"/>
          <c:tx>
            <c:strRef>
              <c:f>ELEPHANT!#REF!</c:f>
              <c:strCache>
                <c:ptCount val="1"/>
                <c:pt idx="0">
                  <c:v>#REF!</c:v>
                </c:pt>
              </c:strCache>
            </c:strRef>
          </c:tx>
          <c:spPr>
            <a:solidFill>
              <a:srgbClr val="FF0000"/>
            </a:solidFill>
          </c:spPr>
          <c:invertIfNegative val="0"/>
          <c:val>
            <c:numRef>
              <c:f>'Your Elephant'!$M$7:$N$7</c:f>
              <c:numCache>
                <c:formatCode>General</c:formatCode>
                <c:ptCount val="2"/>
              </c:numCache>
            </c:numRef>
          </c:val>
        </c:ser>
        <c:ser>
          <c:idx val="5"/>
          <c:order val="5"/>
          <c:tx>
            <c:strRef>
              <c:f>'Your Elephant'!$P$29</c:f>
              <c:strCache>
                <c:ptCount val="1"/>
                <c:pt idx="0">
                  <c:v>Negative Emissions</c:v>
                </c:pt>
              </c:strCache>
            </c:strRef>
          </c:tx>
          <c:spPr>
            <a:solidFill>
              <a:srgbClr val="7030A0"/>
            </a:solidFill>
          </c:spPr>
          <c:invertIfNegative val="0"/>
          <c:val>
            <c:numRef>
              <c:f>'Your Elephant'!$Q$29:$R$29</c:f>
              <c:numCache>
                <c:formatCode>0.00</c:formatCode>
                <c:ptCount val="2"/>
                <c:pt idx="0" formatCode="General">
                  <c:v>0</c:v>
                </c:pt>
                <c:pt idx="1">
                  <c:v>0</c:v>
                </c:pt>
              </c:numCache>
            </c:numRef>
          </c:val>
        </c:ser>
        <c:dLbls>
          <c:showLegendKey val="0"/>
          <c:showVal val="0"/>
          <c:showCatName val="0"/>
          <c:showSerName val="0"/>
          <c:showPercent val="0"/>
          <c:showBubbleSize val="0"/>
        </c:dLbls>
        <c:gapWidth val="150"/>
        <c:overlap val="100"/>
        <c:axId val="43025152"/>
        <c:axId val="43027072"/>
      </c:barChart>
      <c:catAx>
        <c:axId val="4302515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1:variants, 2: average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027072"/>
        <c:crosses val="autoZero"/>
        <c:auto val="1"/>
        <c:lblAlgn val="ctr"/>
        <c:lblOffset val="100"/>
        <c:noMultiLvlLbl val="0"/>
      </c:catAx>
      <c:valAx>
        <c:axId val="43027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Emissions, tCO2e/y</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025152"/>
        <c:crosses val="autoZero"/>
        <c:crossBetween val="between"/>
        <c:majorUnit val="2"/>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732687922206478"/>
          <c:y val="0.1742835697450387"/>
          <c:w val="0.43575061314057068"/>
          <c:h val="0.72074121882305742"/>
        </c:manualLayout>
      </c:layout>
      <c:barChart>
        <c:barDir val="col"/>
        <c:grouping val="stacked"/>
        <c:varyColors val="0"/>
        <c:ser>
          <c:idx val="6"/>
          <c:order val="0"/>
          <c:tx>
            <c:strRef>
              <c:f>'Your Elephant'!$B$12</c:f>
              <c:strCache>
                <c:ptCount val="1"/>
                <c:pt idx="0">
                  <c:v>NE</c:v>
                </c:pt>
              </c:strCache>
            </c:strRef>
          </c:tx>
          <c:invertIfNegative val="0"/>
          <c:cat>
            <c:strRef>
              <c:f>'Your Elephant'!$D$5:$E$5</c:f>
              <c:strCache>
                <c:ptCount val="2"/>
                <c:pt idx="0">
                  <c:v>YOUR CHOICES</c:v>
                </c:pt>
                <c:pt idx="1">
                  <c:v>AVERAGE</c:v>
                </c:pt>
              </c:strCache>
            </c:strRef>
          </c:cat>
          <c:val>
            <c:numRef>
              <c:f>'Your Elephant'!$D$12:$E$12</c:f>
              <c:numCache>
                <c:formatCode>0.0</c:formatCode>
                <c:ptCount val="2"/>
                <c:pt idx="0">
                  <c:v>0</c:v>
                </c:pt>
                <c:pt idx="1">
                  <c:v>0</c:v>
                </c:pt>
              </c:numCache>
            </c:numRef>
          </c:val>
        </c:ser>
        <c:ser>
          <c:idx val="5"/>
          <c:order val="1"/>
          <c:tx>
            <c:strRef>
              <c:f>'Your Elephant'!$B$11</c:f>
              <c:strCache>
                <c:ptCount val="1"/>
                <c:pt idx="0">
                  <c:v>PS</c:v>
                </c:pt>
              </c:strCache>
            </c:strRef>
          </c:tx>
          <c:spPr>
            <a:gradFill flip="none" rotWithShape="1">
              <a:gsLst>
                <a:gs pos="0">
                  <a:schemeClr val="tx1">
                    <a:lumMod val="85000"/>
                    <a:lumOff val="15000"/>
                    <a:tint val="66000"/>
                    <a:satMod val="160000"/>
                  </a:schemeClr>
                </a:gs>
                <a:gs pos="50000">
                  <a:schemeClr val="tx1">
                    <a:lumMod val="85000"/>
                    <a:lumOff val="15000"/>
                    <a:tint val="44500"/>
                    <a:satMod val="160000"/>
                  </a:schemeClr>
                </a:gs>
                <a:gs pos="100000">
                  <a:schemeClr val="tx1">
                    <a:lumMod val="85000"/>
                    <a:lumOff val="15000"/>
                    <a:tint val="23500"/>
                    <a:satMod val="160000"/>
                  </a:schemeClr>
                </a:gs>
              </a:gsLst>
              <a:lin ang="0" scaled="1"/>
              <a:tileRect/>
            </a:gradFill>
          </c:spPr>
          <c:invertIfNegative val="0"/>
          <c:cat>
            <c:strRef>
              <c:f>'Your Elephant'!$D$5:$E$5</c:f>
              <c:strCache>
                <c:ptCount val="2"/>
                <c:pt idx="0">
                  <c:v>YOUR CHOICES</c:v>
                </c:pt>
                <c:pt idx="1">
                  <c:v>AVERAGE</c:v>
                </c:pt>
              </c:strCache>
            </c:strRef>
          </c:cat>
          <c:val>
            <c:numRef>
              <c:f>'Your Elephant'!$D$11:$E$11</c:f>
              <c:numCache>
                <c:formatCode>0.0</c:formatCode>
                <c:ptCount val="2"/>
                <c:pt idx="0">
                  <c:v>2.6304347826086958</c:v>
                </c:pt>
                <c:pt idx="1">
                  <c:v>2.6304347826086958</c:v>
                </c:pt>
              </c:numCache>
            </c:numRef>
          </c:val>
        </c:ser>
        <c:ser>
          <c:idx val="4"/>
          <c:order val="2"/>
          <c:tx>
            <c:strRef>
              <c:f>'Your Elephant'!$B$10</c:f>
              <c:strCache>
                <c:ptCount val="1"/>
                <c:pt idx="0">
                  <c:v>G&amp;S</c:v>
                </c:pt>
              </c:strCache>
            </c:strRef>
          </c:tx>
          <c:spPr>
            <a:gradFill flip="none" rotWithShape="1">
              <a:gsLst>
                <a:gs pos="0">
                  <a:schemeClr val="accent5">
                    <a:shade val="30000"/>
                    <a:satMod val="115000"/>
                    <a:lumMod val="80000"/>
                  </a:schemeClr>
                </a:gs>
                <a:gs pos="50000">
                  <a:schemeClr val="accent5">
                    <a:lumMod val="75000"/>
                    <a:shade val="67500"/>
                    <a:satMod val="115000"/>
                  </a:schemeClr>
                </a:gs>
                <a:gs pos="100000">
                  <a:schemeClr val="accent5">
                    <a:lumMod val="75000"/>
                    <a:shade val="100000"/>
                    <a:satMod val="115000"/>
                  </a:schemeClr>
                </a:gs>
              </a:gsLst>
              <a:lin ang="0" scaled="1"/>
              <a:tileRect/>
            </a:gradFill>
          </c:spPr>
          <c:invertIfNegative val="0"/>
          <c:cat>
            <c:strRef>
              <c:f>'Your Elephant'!$D$5:$E$5</c:f>
              <c:strCache>
                <c:ptCount val="2"/>
                <c:pt idx="0">
                  <c:v>YOUR CHOICES</c:v>
                </c:pt>
                <c:pt idx="1">
                  <c:v>AVERAGE</c:v>
                </c:pt>
              </c:strCache>
            </c:strRef>
          </c:cat>
          <c:val>
            <c:numRef>
              <c:f>'Your Elephant'!$D$10:$E$10</c:f>
              <c:numCache>
                <c:formatCode>0.0</c:formatCode>
                <c:ptCount val="2"/>
                <c:pt idx="0">
                  <c:v>4.3250000000000002</c:v>
                </c:pt>
                <c:pt idx="1">
                  <c:v>4.34</c:v>
                </c:pt>
              </c:numCache>
            </c:numRef>
          </c:val>
        </c:ser>
        <c:ser>
          <c:idx val="3"/>
          <c:order val="3"/>
          <c:tx>
            <c:strRef>
              <c:f>'Your Elephant'!$B$9</c:f>
              <c:strCache>
                <c:ptCount val="1"/>
                <c:pt idx="0">
                  <c:v>F</c:v>
                </c:pt>
              </c:strCache>
            </c:strRef>
          </c:tx>
          <c:spPr>
            <a:gradFill flip="none" rotWithShape="1">
              <a:gsLst>
                <a:gs pos="0">
                  <a:srgbClr val="00B050">
                    <a:shade val="30000"/>
                    <a:satMod val="115000"/>
                    <a:lumMod val="95000"/>
                    <a:lumOff val="5000"/>
                  </a:srgbClr>
                </a:gs>
                <a:gs pos="50000">
                  <a:srgbClr val="00B050">
                    <a:shade val="67500"/>
                    <a:satMod val="115000"/>
                  </a:srgbClr>
                </a:gs>
                <a:gs pos="100000">
                  <a:srgbClr val="00B05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Elephant'!$D$9:$E$9</c:f>
              <c:numCache>
                <c:formatCode>0.0</c:formatCode>
                <c:ptCount val="2"/>
                <c:pt idx="0">
                  <c:v>0.4596159999999998</c:v>
                </c:pt>
                <c:pt idx="1">
                  <c:v>3.05</c:v>
                </c:pt>
              </c:numCache>
            </c:numRef>
          </c:val>
        </c:ser>
        <c:ser>
          <c:idx val="2"/>
          <c:order val="4"/>
          <c:tx>
            <c:strRef>
              <c:f>'Your Elephant'!$B$8</c:f>
              <c:strCache>
                <c:ptCount val="1"/>
                <c:pt idx="0">
                  <c:v>FLY</c:v>
                </c:pt>
              </c:strCache>
            </c:strRef>
          </c:tx>
          <c:spPr>
            <a:gradFill flip="none" rotWithShape="1">
              <a:gsLst>
                <a:gs pos="0">
                  <a:srgbClr val="FFFF00">
                    <a:shade val="30000"/>
                    <a:satMod val="115000"/>
                    <a:lumMod val="90000"/>
                    <a:lumOff val="10000"/>
                  </a:srgbClr>
                </a:gs>
                <a:gs pos="50000">
                  <a:srgbClr val="FFFF00">
                    <a:shade val="67500"/>
                    <a:satMod val="115000"/>
                  </a:srgbClr>
                </a:gs>
                <a:gs pos="100000">
                  <a:srgbClr val="FFFF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Elephant'!$D$8:$E$8</c:f>
              <c:numCache>
                <c:formatCode>0.0</c:formatCode>
                <c:ptCount val="2"/>
                <c:pt idx="0">
                  <c:v>0.79799999999999993</c:v>
                </c:pt>
                <c:pt idx="1">
                  <c:v>0.78</c:v>
                </c:pt>
              </c:numCache>
            </c:numRef>
          </c:val>
        </c:ser>
        <c:ser>
          <c:idx val="1"/>
          <c:order val="5"/>
          <c:tx>
            <c:strRef>
              <c:f>'Your Elephant'!$B$7</c:f>
              <c:strCache>
                <c:ptCount val="1"/>
                <c:pt idx="0">
                  <c:v>TRA</c:v>
                </c:pt>
              </c:strCache>
            </c:strRef>
          </c:tx>
          <c:spPr>
            <a:gradFill flip="none" rotWithShape="1">
              <a:gsLst>
                <a:gs pos="0">
                  <a:srgbClr val="FFC000">
                    <a:shade val="30000"/>
                    <a:satMod val="115000"/>
                    <a:lumMod val="95000"/>
                    <a:lumOff val="5000"/>
                  </a:srgbClr>
                </a:gs>
                <a:gs pos="50000">
                  <a:srgbClr val="FFC000">
                    <a:shade val="67500"/>
                    <a:satMod val="115000"/>
                  </a:srgbClr>
                </a:gs>
                <a:gs pos="100000">
                  <a:srgbClr val="FFC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Elephant'!$D$7:$E$7</c:f>
              <c:numCache>
                <c:formatCode>0.0</c:formatCode>
                <c:ptCount val="2"/>
                <c:pt idx="0">
                  <c:v>2.4538434782608691</c:v>
                </c:pt>
                <c:pt idx="1">
                  <c:v>2.59</c:v>
                </c:pt>
              </c:numCache>
            </c:numRef>
          </c:val>
        </c:ser>
        <c:ser>
          <c:idx val="0"/>
          <c:order val="6"/>
          <c:tx>
            <c:strRef>
              <c:f>'Your Elephant'!$B$6</c:f>
              <c:strCache>
                <c:ptCount val="1"/>
                <c:pt idx="0">
                  <c:v>HE</c:v>
                </c:pt>
              </c:strCache>
            </c:strRef>
          </c:tx>
          <c:spPr>
            <a:gradFill flip="none" rotWithShape="1">
              <a:gsLst>
                <a:gs pos="0">
                  <a:srgbClr val="CC0000">
                    <a:shade val="30000"/>
                    <a:satMod val="115000"/>
                    <a:lumMod val="95000"/>
                    <a:lumOff val="5000"/>
                  </a:srgbClr>
                </a:gs>
                <a:gs pos="50000">
                  <a:srgbClr val="CC0000">
                    <a:shade val="67500"/>
                    <a:satMod val="115000"/>
                  </a:srgbClr>
                </a:gs>
                <a:gs pos="100000">
                  <a:srgbClr val="CC0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Elephant'!$D$6:$E$6</c:f>
              <c:numCache>
                <c:formatCode>0.0</c:formatCode>
                <c:ptCount val="2"/>
                <c:pt idx="0">
                  <c:v>2.4424325217391307</c:v>
                </c:pt>
                <c:pt idx="1">
                  <c:v>2.4700000000000002</c:v>
                </c:pt>
              </c:numCache>
            </c:numRef>
          </c:val>
        </c:ser>
        <c:dLbls>
          <c:showLegendKey val="0"/>
          <c:showVal val="0"/>
          <c:showCatName val="0"/>
          <c:showSerName val="0"/>
          <c:showPercent val="0"/>
          <c:showBubbleSize val="0"/>
        </c:dLbls>
        <c:gapWidth val="70"/>
        <c:overlap val="100"/>
        <c:axId val="89270912"/>
        <c:axId val="89280896"/>
      </c:barChart>
      <c:catAx>
        <c:axId val="89270912"/>
        <c:scaling>
          <c:orientation val="minMax"/>
        </c:scaling>
        <c:delete val="0"/>
        <c:axPos val="b"/>
        <c:numFmt formatCode="General" sourceLinked="0"/>
        <c:majorTickMark val="out"/>
        <c:minorTickMark val="none"/>
        <c:tickLblPos val="nextTo"/>
        <c:crossAx val="89280896"/>
        <c:crosses val="autoZero"/>
        <c:auto val="1"/>
        <c:lblAlgn val="ctr"/>
        <c:lblOffset val="100"/>
        <c:noMultiLvlLbl val="0"/>
      </c:catAx>
      <c:valAx>
        <c:axId val="89280896"/>
        <c:scaling>
          <c:orientation val="minMax"/>
        </c:scaling>
        <c:delete val="0"/>
        <c:axPos val="l"/>
        <c:title>
          <c:tx>
            <c:rich>
              <a:bodyPr rot="-5400000" vert="horz"/>
              <a:lstStyle/>
              <a:p>
                <a:pPr>
                  <a:defRPr b="0"/>
                </a:pPr>
                <a:r>
                  <a:rPr lang="en-US" b="0"/>
                  <a:t>PERSONAL CARBON FOOTPRINT, TONNES CO2E PER YEAR</a:t>
                </a:r>
              </a:p>
            </c:rich>
          </c:tx>
          <c:layout>
            <c:manualLayout>
              <c:xMode val="edge"/>
              <c:yMode val="edge"/>
              <c:x val="0.2667124478292674"/>
              <c:y val="0.28468048993875794"/>
            </c:manualLayout>
          </c:layout>
          <c:overlay val="0"/>
        </c:title>
        <c:numFmt formatCode="0" sourceLinked="0"/>
        <c:majorTickMark val="out"/>
        <c:minorTickMark val="none"/>
        <c:tickLblPos val="nextTo"/>
        <c:crossAx val="89270912"/>
        <c:crosses val="autoZero"/>
        <c:crossBetween val="between"/>
      </c:valAx>
      <c:spPr>
        <a:noFill/>
      </c:spPr>
    </c:plotArea>
    <c:legend>
      <c:legendPos val="r"/>
      <c:layout>
        <c:manualLayout>
          <c:xMode val="edge"/>
          <c:yMode val="edge"/>
          <c:x val="5.0923454240351121E-2"/>
          <c:y val="0.40054173228346457"/>
          <c:w val="0.16322189234542409"/>
          <c:h val="0.30015485564304473"/>
        </c:manualLayout>
      </c:layout>
      <c:overlay val="0"/>
      <c:txPr>
        <a:bodyPr/>
        <a:lstStyle/>
        <a:p>
          <a:pPr>
            <a:defRPr sz="1100">
              <a:latin typeface="Calibri Light" panose="020F0302020204030204" pitchFamily="34" charset="0"/>
            </a:defRPr>
          </a:pPr>
          <a:endParaRPr lang="en-U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Steps!$M$40</c:f>
              <c:strCache>
                <c:ptCount val="1"/>
              </c:strCache>
            </c:strRef>
          </c:tx>
          <c:spPr>
            <a:solidFill>
              <a:schemeClr val="tx1"/>
            </a:solidFill>
          </c:spPr>
          <c:invertIfNegative val="0"/>
          <c:cat>
            <c:numRef>
              <c:f>Steps!$N$39:$O$39</c:f>
              <c:numCache>
                <c:formatCode>General</c:formatCode>
                <c:ptCount val="2"/>
              </c:numCache>
            </c:numRef>
          </c:cat>
          <c:val>
            <c:numRef>
              <c:f>Steps!$N$40:$O$40</c:f>
              <c:numCache>
                <c:formatCode>0.00</c:formatCode>
                <c:ptCount val="2"/>
              </c:numCache>
            </c:numRef>
          </c:val>
        </c:ser>
        <c:ser>
          <c:idx val="1"/>
          <c:order val="1"/>
          <c:tx>
            <c:strRef>
              <c:f>Steps!$T$57</c:f>
              <c:strCache>
                <c:ptCount val="1"/>
              </c:strCache>
            </c:strRef>
          </c:tx>
          <c:spPr>
            <a:solidFill>
              <a:schemeClr val="bg1">
                <a:lumMod val="50000"/>
              </a:schemeClr>
            </a:solidFill>
          </c:spPr>
          <c:invertIfNegative val="0"/>
          <c:cat>
            <c:numRef>
              <c:f>Steps!$N$39:$O$39</c:f>
              <c:numCache>
                <c:formatCode>General</c:formatCode>
                <c:ptCount val="2"/>
              </c:numCache>
            </c:numRef>
          </c:cat>
          <c:val>
            <c:numRef>
              <c:f>Steps!$U$57:$V$57</c:f>
              <c:numCache>
                <c:formatCode>General</c:formatCode>
                <c:ptCount val="2"/>
              </c:numCache>
            </c:numRef>
          </c:val>
        </c:ser>
        <c:ser>
          <c:idx val="2"/>
          <c:order val="2"/>
          <c:spPr>
            <a:solidFill>
              <a:schemeClr val="tx2">
                <a:lumMod val="40000"/>
                <a:lumOff val="60000"/>
              </a:schemeClr>
            </a:solidFill>
          </c:spPr>
          <c:invertIfNegative val="0"/>
          <c:cat>
            <c:numRef>
              <c:f>Steps!$N$39:$O$39</c:f>
              <c:numCache>
                <c:formatCode>General</c:formatCode>
                <c:ptCount val="2"/>
              </c:numCache>
            </c:numRef>
          </c:cat>
          <c:val>
            <c:numLit>
              <c:formatCode>General</c:formatCode>
              <c:ptCount val="1"/>
              <c:pt idx="0">
                <c:v>0</c:v>
              </c:pt>
            </c:numLit>
          </c:val>
        </c:ser>
        <c:ser>
          <c:idx val="3"/>
          <c:order val="3"/>
          <c:spPr>
            <a:solidFill>
              <a:schemeClr val="tx2">
                <a:lumMod val="75000"/>
              </a:schemeClr>
            </a:solidFill>
          </c:spPr>
          <c:invertIfNegative val="0"/>
          <c:cat>
            <c:numRef>
              <c:f>Steps!$N$39:$O$39</c:f>
              <c:numCache>
                <c:formatCode>General</c:formatCode>
                <c:ptCount val="2"/>
              </c:numCache>
            </c:numRef>
          </c:cat>
          <c:val>
            <c:numLit>
              <c:formatCode>General</c:formatCode>
              <c:ptCount val="1"/>
              <c:pt idx="0">
                <c:v>0</c:v>
              </c:pt>
            </c:numLit>
          </c:val>
        </c:ser>
        <c:ser>
          <c:idx val="4"/>
          <c:order val="4"/>
          <c:tx>
            <c:strRef>
              <c:f>Steps!$T$58</c:f>
              <c:strCache>
                <c:ptCount val="1"/>
              </c:strCache>
            </c:strRef>
          </c:tx>
          <c:spPr>
            <a:solidFill>
              <a:srgbClr val="009900"/>
            </a:solidFill>
          </c:spPr>
          <c:invertIfNegative val="0"/>
          <c:cat>
            <c:numRef>
              <c:f>Steps!$N$39:$O$39</c:f>
              <c:numCache>
                <c:formatCode>General</c:formatCode>
                <c:ptCount val="2"/>
              </c:numCache>
            </c:numRef>
          </c:cat>
          <c:val>
            <c:numRef>
              <c:f>Steps!$U$58:$V$58</c:f>
              <c:numCache>
                <c:formatCode>0.00</c:formatCode>
                <c:ptCount val="2"/>
              </c:numCache>
            </c:numRef>
          </c:val>
        </c:ser>
        <c:ser>
          <c:idx val="5"/>
          <c:order val="5"/>
          <c:tx>
            <c:strRef>
              <c:f>Steps!$T$61</c:f>
              <c:strCache>
                <c:ptCount val="1"/>
              </c:strCache>
            </c:strRef>
          </c:tx>
          <c:spPr>
            <a:solidFill>
              <a:srgbClr val="FFFF00"/>
            </a:solidFill>
          </c:spPr>
          <c:invertIfNegative val="0"/>
          <c:cat>
            <c:numRef>
              <c:f>Steps!$N$39:$O$39</c:f>
              <c:numCache>
                <c:formatCode>General</c:formatCode>
                <c:ptCount val="2"/>
              </c:numCache>
            </c:numRef>
          </c:cat>
          <c:val>
            <c:numRef>
              <c:f>Steps!$U$61:$V$61</c:f>
              <c:numCache>
                <c:formatCode>0.00</c:formatCode>
                <c:ptCount val="2"/>
              </c:numCache>
            </c:numRef>
          </c:val>
        </c:ser>
        <c:ser>
          <c:idx val="6"/>
          <c:order val="6"/>
          <c:tx>
            <c:strRef>
              <c:f>Steps!$T$62</c:f>
              <c:strCache>
                <c:ptCount val="1"/>
              </c:strCache>
            </c:strRef>
          </c:tx>
          <c:spPr>
            <a:solidFill>
              <a:srgbClr val="FF0000"/>
            </a:solidFill>
          </c:spPr>
          <c:invertIfNegative val="0"/>
          <c:cat>
            <c:numRef>
              <c:f>Steps!$N$39:$O$39</c:f>
              <c:numCache>
                <c:formatCode>General</c:formatCode>
                <c:ptCount val="2"/>
              </c:numCache>
            </c:numRef>
          </c:cat>
          <c:val>
            <c:numRef>
              <c:f>Steps!$U$62:$V$62</c:f>
              <c:numCache>
                <c:formatCode>0.00</c:formatCode>
                <c:ptCount val="2"/>
              </c:numCache>
            </c:numRef>
          </c:val>
        </c:ser>
        <c:dLbls>
          <c:showLegendKey val="0"/>
          <c:showVal val="0"/>
          <c:showCatName val="0"/>
          <c:showSerName val="0"/>
          <c:showPercent val="0"/>
          <c:showBubbleSize val="0"/>
        </c:dLbls>
        <c:gapWidth val="150"/>
        <c:overlap val="100"/>
        <c:axId val="42889216"/>
        <c:axId val="42890752"/>
      </c:barChart>
      <c:catAx>
        <c:axId val="4288921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42890752"/>
        <c:crossesAt val="0"/>
        <c:auto val="1"/>
        <c:lblAlgn val="ctr"/>
        <c:lblOffset val="100"/>
        <c:noMultiLvlLbl val="0"/>
      </c:catAx>
      <c:valAx>
        <c:axId val="42890752"/>
        <c:scaling>
          <c:orientation val="minMax"/>
          <c:min val="0"/>
        </c:scaling>
        <c:delete val="0"/>
        <c:axPos val="l"/>
        <c:majorGridlines/>
        <c:title>
          <c:tx>
            <c:rich>
              <a:bodyPr/>
              <a:lstStyle/>
              <a:p>
                <a:pPr>
                  <a:defRPr sz="900" b="1" i="0" u="none" strike="noStrike" baseline="0">
                    <a:solidFill>
                      <a:srgbClr val="000000"/>
                    </a:solidFill>
                    <a:latin typeface="Calibri"/>
                    <a:ea typeface="Calibri"/>
                    <a:cs typeface="Calibri"/>
                  </a:defRPr>
                </a:pPr>
                <a:r>
                  <a:rPr lang="en-GB"/>
                  <a:t>GHGE PER PERSON PER YEAR, tonnes CO2e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889216"/>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4858871145779653"/>
          <c:y val="1.2825231195717582E-2"/>
          <c:w val="0.44767297078519391"/>
          <c:h val="0.92401734787020573"/>
        </c:manualLayout>
      </c:layout>
      <c:barChart>
        <c:barDir val="col"/>
        <c:grouping val="stacked"/>
        <c:varyColors val="0"/>
        <c:ser>
          <c:idx val="0"/>
          <c:order val="0"/>
          <c:tx>
            <c:strRef>
              <c:f>'Your Elephant'!$S$6</c:f>
              <c:strCache>
                <c:ptCount val="1"/>
                <c:pt idx="0">
                  <c:v>Public services and infrastructure</c:v>
                </c:pt>
              </c:strCache>
            </c:strRef>
          </c:tx>
          <c:spPr>
            <a:solidFill>
              <a:schemeClr val="tx1"/>
            </a:solidFill>
          </c:spPr>
          <c:invertIfNegative val="0"/>
          <c:val>
            <c:numRef>
              <c:f>'Your Elephant'!$T$6:$V$6</c:f>
              <c:numCache>
                <c:formatCode>0.00</c:formatCode>
                <c:ptCount val="3"/>
                <c:pt idx="0">
                  <c:v>2.6223939165600409</c:v>
                </c:pt>
                <c:pt idx="1">
                  <c:v>2.6223939165600409</c:v>
                </c:pt>
                <c:pt idx="2">
                  <c:v>2.6304347826086958</c:v>
                </c:pt>
              </c:numCache>
            </c:numRef>
          </c:val>
        </c:ser>
        <c:ser>
          <c:idx val="1"/>
          <c:order val="1"/>
          <c:tx>
            <c:strRef>
              <c:f>'Your Elephant'!$S$7</c:f>
              <c:strCache>
                <c:ptCount val="1"/>
                <c:pt idx="0">
                  <c:v>Business Sector and Investment</c:v>
                </c:pt>
              </c:strCache>
            </c:strRef>
          </c:tx>
          <c:spPr>
            <a:solidFill>
              <a:srgbClr val="6E8090"/>
            </a:solidFill>
          </c:spPr>
          <c:invertIfNegative val="0"/>
          <c:val>
            <c:numRef>
              <c:f>'Your Elephant'!$T$7:$V$7</c:f>
              <c:numCache>
                <c:formatCode>0.00</c:formatCode>
                <c:ptCount val="3"/>
                <c:pt idx="1">
                  <c:v>1.6442582438798368</c:v>
                </c:pt>
                <c:pt idx="2">
                  <c:v>1.5869565217391306</c:v>
                </c:pt>
              </c:numCache>
            </c:numRef>
          </c:val>
        </c:ser>
        <c:ser>
          <c:idx val="2"/>
          <c:order val="2"/>
          <c:tx>
            <c:strRef>
              <c:f>ELEPHANT!#REF!</c:f>
              <c:strCache>
                <c:ptCount val="1"/>
                <c:pt idx="0">
                  <c:v>#REF!</c:v>
                </c:pt>
              </c:strCache>
            </c:strRef>
          </c:tx>
          <c:spPr>
            <a:solidFill>
              <a:schemeClr val="tx2">
                <a:lumMod val="40000"/>
                <a:lumOff val="60000"/>
              </a:schemeClr>
            </a:solidFill>
          </c:spPr>
          <c:invertIfNegative val="0"/>
          <c:val>
            <c:numRef>
              <c:f>ELEPHANT!#REF!</c:f>
              <c:numCache>
                <c:formatCode>General</c:formatCode>
                <c:ptCount val="1"/>
                <c:pt idx="0">
                  <c:v>1</c:v>
                </c:pt>
              </c:numCache>
            </c:numRef>
          </c:val>
        </c:ser>
        <c:ser>
          <c:idx val="3"/>
          <c:order val="3"/>
          <c:tx>
            <c:strRef>
              <c:f>ELEPHANT!#REF!</c:f>
              <c:strCache>
                <c:ptCount val="1"/>
                <c:pt idx="0">
                  <c:v>#REF!</c:v>
                </c:pt>
              </c:strCache>
            </c:strRef>
          </c:tx>
          <c:spPr>
            <a:solidFill>
              <a:schemeClr val="accent1">
                <a:lumMod val="50000"/>
              </a:schemeClr>
            </a:solidFill>
          </c:spPr>
          <c:invertIfNegative val="0"/>
          <c:val>
            <c:numRef>
              <c:f>ELEPHANT!#REF!</c:f>
              <c:numCache>
                <c:formatCode>General</c:formatCode>
                <c:ptCount val="1"/>
                <c:pt idx="0">
                  <c:v>1</c:v>
                </c:pt>
              </c:numCache>
            </c:numRef>
          </c:val>
        </c:ser>
        <c:ser>
          <c:idx val="4"/>
          <c:order val="4"/>
          <c:tx>
            <c:strRef>
              <c:f>'Your Elephant'!$S$8</c:f>
              <c:strCache>
                <c:ptCount val="1"/>
                <c:pt idx="0">
                  <c:v>Food waste</c:v>
                </c:pt>
              </c:strCache>
            </c:strRef>
          </c:tx>
          <c:spPr>
            <a:solidFill>
              <a:schemeClr val="accent3">
                <a:lumMod val="60000"/>
                <a:lumOff val="40000"/>
              </a:schemeClr>
            </a:solidFill>
          </c:spPr>
          <c:invertIfNegative val="0"/>
          <c:val>
            <c:numRef>
              <c:f>'Your Elephant'!$T$8:$V$8</c:f>
              <c:numCache>
                <c:formatCode>0.00</c:formatCode>
                <c:ptCount val="3"/>
                <c:pt idx="1">
                  <c:v>0</c:v>
                </c:pt>
                <c:pt idx="2" formatCode="General">
                  <c:v>0.33</c:v>
                </c:pt>
              </c:numCache>
            </c:numRef>
          </c:val>
        </c:ser>
        <c:ser>
          <c:idx val="5"/>
          <c:order val="5"/>
          <c:tx>
            <c:strRef>
              <c:f>'Your Elephant'!$S$9</c:f>
              <c:strCache>
                <c:ptCount val="1"/>
                <c:pt idx="0">
                  <c:v>Food Processing</c:v>
                </c:pt>
              </c:strCache>
            </c:strRef>
          </c:tx>
          <c:spPr>
            <a:solidFill>
              <a:schemeClr val="accent3">
                <a:lumMod val="75000"/>
              </a:schemeClr>
            </a:solidFill>
          </c:spPr>
          <c:invertIfNegative val="0"/>
          <c:val>
            <c:numRef>
              <c:f>'Your Elephant'!$T$9:$V$9</c:f>
              <c:numCache>
                <c:formatCode>0.00</c:formatCode>
                <c:ptCount val="3"/>
                <c:pt idx="1">
                  <c:v>0</c:v>
                </c:pt>
                <c:pt idx="2">
                  <c:v>1.05</c:v>
                </c:pt>
              </c:numCache>
            </c:numRef>
          </c:val>
        </c:ser>
        <c:ser>
          <c:idx val="6"/>
          <c:order val="6"/>
          <c:tx>
            <c:strRef>
              <c:f>'Your Elephant'!$S$10</c:f>
              <c:strCache>
                <c:ptCount val="1"/>
                <c:pt idx="0">
                  <c:v>Farming</c:v>
                </c:pt>
              </c:strCache>
            </c:strRef>
          </c:tx>
          <c:spPr>
            <a:solidFill>
              <a:schemeClr val="accent3">
                <a:lumMod val="50000"/>
              </a:schemeClr>
            </a:solidFill>
          </c:spPr>
          <c:invertIfNegative val="0"/>
          <c:val>
            <c:numRef>
              <c:f>'Your Elephant'!$T$10:$V$10</c:f>
              <c:numCache>
                <c:formatCode>0.00</c:formatCode>
                <c:ptCount val="3"/>
                <c:pt idx="1">
                  <c:v>0</c:v>
                </c:pt>
                <c:pt idx="2">
                  <c:v>1.62</c:v>
                </c:pt>
              </c:numCache>
            </c:numRef>
          </c:val>
        </c:ser>
        <c:ser>
          <c:idx val="7"/>
          <c:order val="7"/>
          <c:tx>
            <c:strRef>
              <c:f>'Your Elephant'!$S$11</c:f>
              <c:strCache>
                <c:ptCount val="1"/>
                <c:pt idx="0">
                  <c:v>Flying</c:v>
                </c:pt>
              </c:strCache>
            </c:strRef>
          </c:tx>
          <c:spPr>
            <a:solidFill>
              <a:srgbClr val="FFFF00"/>
            </a:solidFill>
          </c:spPr>
          <c:invertIfNegative val="0"/>
          <c:val>
            <c:numRef>
              <c:f>'Your Elephant'!$T$11:$V$11</c:f>
              <c:numCache>
                <c:formatCode>0.00</c:formatCode>
                <c:ptCount val="3"/>
                <c:pt idx="1">
                  <c:v>0.78260869565217395</c:v>
                </c:pt>
                <c:pt idx="2">
                  <c:v>0.78260869565217395</c:v>
                </c:pt>
              </c:numCache>
            </c:numRef>
          </c:val>
        </c:ser>
        <c:ser>
          <c:idx val="8"/>
          <c:order val="8"/>
          <c:tx>
            <c:strRef>
              <c:f>'Your Elephant'!$S$12</c:f>
              <c:strCache>
                <c:ptCount val="1"/>
                <c:pt idx="0">
                  <c:v>Public Transport</c:v>
                </c:pt>
              </c:strCache>
            </c:strRef>
          </c:tx>
          <c:spPr>
            <a:solidFill>
              <a:srgbClr val="FFC000"/>
            </a:solidFill>
          </c:spPr>
          <c:invertIfNegative val="0"/>
          <c:val>
            <c:numRef>
              <c:f>'Your Elephant'!$T$12:$V$12</c:f>
              <c:numCache>
                <c:formatCode>0.00</c:formatCode>
                <c:ptCount val="3"/>
                <c:pt idx="1">
                  <c:v>0.6</c:v>
                </c:pt>
                <c:pt idx="2">
                  <c:v>0.43043478260869567</c:v>
                </c:pt>
              </c:numCache>
            </c:numRef>
          </c:val>
        </c:ser>
        <c:ser>
          <c:idx val="9"/>
          <c:order val="9"/>
          <c:tx>
            <c:strRef>
              <c:f>'Your Elephant'!$S$13</c:f>
              <c:strCache>
                <c:ptCount val="1"/>
                <c:pt idx="0">
                  <c:v>Veh Purchase and maint</c:v>
                </c:pt>
              </c:strCache>
            </c:strRef>
          </c:tx>
          <c:spPr>
            <a:solidFill>
              <a:schemeClr val="accent6">
                <a:lumMod val="75000"/>
              </a:schemeClr>
            </a:solidFill>
          </c:spPr>
          <c:invertIfNegative val="0"/>
          <c:val>
            <c:numRef>
              <c:f>'Your Elephant'!$T$13:$V$13</c:f>
              <c:numCache>
                <c:formatCode>0.00</c:formatCode>
                <c:ptCount val="3"/>
                <c:pt idx="1">
                  <c:v>0.30897391304347827</c:v>
                </c:pt>
                <c:pt idx="2">
                  <c:v>0.72173913043478266</c:v>
                </c:pt>
              </c:numCache>
            </c:numRef>
          </c:val>
        </c:ser>
        <c:ser>
          <c:idx val="10"/>
          <c:order val="10"/>
          <c:tx>
            <c:strRef>
              <c:f>'Your Elephant'!$S$14</c:f>
              <c:strCache>
                <c:ptCount val="1"/>
                <c:pt idx="0">
                  <c:v>Motor Fuels</c:v>
                </c:pt>
              </c:strCache>
            </c:strRef>
          </c:tx>
          <c:spPr>
            <a:solidFill>
              <a:schemeClr val="accent6">
                <a:lumMod val="50000"/>
              </a:schemeClr>
            </a:solidFill>
          </c:spPr>
          <c:invertIfNegative val="0"/>
          <c:val>
            <c:numRef>
              <c:f>'Your Elephant'!$T$14:$V$14</c:f>
              <c:numCache>
                <c:formatCode>0.00</c:formatCode>
                <c:ptCount val="3"/>
                <c:pt idx="1">
                  <c:v>1.5448695652173912</c:v>
                </c:pt>
                <c:pt idx="2">
                  <c:v>1.4347826086956521</c:v>
                </c:pt>
              </c:numCache>
            </c:numRef>
          </c:val>
        </c:ser>
        <c:ser>
          <c:idx val="11"/>
          <c:order val="11"/>
          <c:tx>
            <c:strRef>
              <c:f>'Your Elephant'!$S$15</c:f>
              <c:strCache>
                <c:ptCount val="1"/>
                <c:pt idx="0">
                  <c:v>Appliances</c:v>
                </c:pt>
              </c:strCache>
            </c:strRef>
          </c:tx>
          <c:spPr>
            <a:solidFill>
              <a:schemeClr val="accent2">
                <a:lumMod val="60000"/>
                <a:lumOff val="40000"/>
              </a:schemeClr>
            </a:solidFill>
          </c:spPr>
          <c:invertIfNegative val="0"/>
          <c:val>
            <c:numRef>
              <c:f>'Your Elephant'!$T$15:$V$15</c:f>
              <c:numCache>
                <c:formatCode>0.00</c:formatCode>
                <c:ptCount val="3"/>
                <c:pt idx="1">
                  <c:v>0.72608695652173927</c:v>
                </c:pt>
                <c:pt idx="2">
                  <c:v>0.73043478260869565</c:v>
                </c:pt>
              </c:numCache>
            </c:numRef>
          </c:val>
        </c:ser>
        <c:ser>
          <c:idx val="12"/>
          <c:order val="12"/>
          <c:tx>
            <c:strRef>
              <c:f>'Your Elephant'!$S$16</c:f>
              <c:strCache>
                <c:ptCount val="1"/>
                <c:pt idx="0">
                  <c:v>Water Heating</c:v>
                </c:pt>
              </c:strCache>
            </c:strRef>
          </c:tx>
          <c:spPr>
            <a:solidFill>
              <a:srgbClr val="FF0000"/>
            </a:solidFill>
          </c:spPr>
          <c:invertIfNegative val="0"/>
          <c:val>
            <c:numRef>
              <c:f>'Your Elephant'!$T$16:$V$16</c:f>
              <c:numCache>
                <c:formatCode>0.00</c:formatCode>
                <c:ptCount val="3"/>
                <c:pt idx="1">
                  <c:v>0.42125599999999996</c:v>
                </c:pt>
                <c:pt idx="2">
                  <c:v>0.43478260869565222</c:v>
                </c:pt>
              </c:numCache>
            </c:numRef>
          </c:val>
        </c:ser>
        <c:ser>
          <c:idx val="13"/>
          <c:order val="13"/>
          <c:tx>
            <c:strRef>
              <c:f>'Your Elephant'!$S$17</c:f>
              <c:strCache>
                <c:ptCount val="1"/>
                <c:pt idx="0">
                  <c:v>Space Heating</c:v>
                </c:pt>
              </c:strCache>
            </c:strRef>
          </c:tx>
          <c:spPr>
            <a:solidFill>
              <a:srgbClr val="C00000"/>
            </a:solidFill>
          </c:spPr>
          <c:invertIfNegative val="0"/>
          <c:val>
            <c:numRef>
              <c:f>'Your Elephant'!$T$17:$V$17</c:f>
              <c:numCache>
                <c:formatCode>0.00</c:formatCode>
                <c:ptCount val="3"/>
                <c:pt idx="1">
                  <c:v>1.2950895652173917</c:v>
                </c:pt>
                <c:pt idx="2">
                  <c:v>1.3043478260869565</c:v>
                </c:pt>
              </c:numCache>
            </c:numRef>
          </c:val>
        </c:ser>
        <c:dLbls>
          <c:showLegendKey val="0"/>
          <c:showVal val="0"/>
          <c:showCatName val="0"/>
          <c:showSerName val="0"/>
          <c:showPercent val="0"/>
          <c:showBubbleSize val="0"/>
        </c:dLbls>
        <c:gapWidth val="150"/>
        <c:overlap val="100"/>
        <c:axId val="43761664"/>
        <c:axId val="43763200"/>
      </c:barChart>
      <c:catAx>
        <c:axId val="437616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763200"/>
        <c:crosses val="autoZero"/>
        <c:auto val="1"/>
        <c:lblAlgn val="ctr"/>
        <c:lblOffset val="100"/>
        <c:noMultiLvlLbl val="0"/>
      </c:catAx>
      <c:valAx>
        <c:axId val="4376320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761664"/>
        <c:crosses val="autoZero"/>
        <c:crossBetween val="between"/>
      </c:valAx>
    </c:plotArea>
    <c:legend>
      <c:legendPos val="l"/>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rendline>
            <c:trendlineType val="log"/>
            <c:dispRSqr val="0"/>
            <c:dispEq val="0"/>
          </c:trendline>
          <c:trendline>
            <c:trendlineType val="exp"/>
            <c:dispRSqr val="0"/>
            <c:dispEq val="1"/>
            <c:trendlineLbl>
              <c:numFmt formatCode="#,##0.00000" sourceLinked="0"/>
              <c:txPr>
                <a:bodyPr/>
                <a:lstStyle/>
                <a:p>
                  <a:pPr>
                    <a:defRPr sz="1000" b="0" i="0" u="none" strike="noStrike" baseline="0">
                      <a:solidFill>
                        <a:srgbClr val="000000"/>
                      </a:solidFill>
                      <a:latin typeface="Calibri"/>
                      <a:ea typeface="Calibri"/>
                      <a:cs typeface="Calibri"/>
                    </a:defRPr>
                  </a:pPr>
                  <a:endParaRPr lang="en-US"/>
                </a:p>
              </c:txPr>
            </c:trendlineLbl>
          </c:trendline>
          <c:trendline>
            <c:trendlineType val="poly"/>
            <c:order val="2"/>
            <c:dispRSqr val="0"/>
            <c:dispEq val="1"/>
            <c:trendlineLbl>
              <c:layout>
                <c:manualLayout>
                  <c:x val="0.26593139775053881"/>
                  <c:y val="9.3733990196973177E-2"/>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trendline>
            <c:trendlineType val="poly"/>
            <c:order val="2"/>
            <c:dispRSqr val="0"/>
            <c:dispEq val="0"/>
          </c:trendline>
          <c:xVal>
            <c:numRef>
              <c:f>Sheet1!$B$29:$E$29</c:f>
              <c:numCache>
                <c:formatCode>General</c:formatCode>
                <c:ptCount val="4"/>
                <c:pt idx="0">
                  <c:v>1.4</c:v>
                </c:pt>
                <c:pt idx="1">
                  <c:v>0.4</c:v>
                </c:pt>
                <c:pt idx="2">
                  <c:v>-0.6</c:v>
                </c:pt>
                <c:pt idx="3">
                  <c:v>-1.6</c:v>
                </c:pt>
              </c:numCache>
            </c:numRef>
          </c:xVal>
          <c:yVal>
            <c:numRef>
              <c:f>Sheet1!$B$30:$E$30</c:f>
              <c:numCache>
                <c:formatCode>General</c:formatCode>
                <c:ptCount val="4"/>
                <c:pt idx="0">
                  <c:v>18.71</c:v>
                </c:pt>
                <c:pt idx="1">
                  <c:v>15.64</c:v>
                </c:pt>
                <c:pt idx="2">
                  <c:v>13.03</c:v>
                </c:pt>
                <c:pt idx="3">
                  <c:v>11.02</c:v>
                </c:pt>
              </c:numCache>
            </c:numRef>
          </c:yVal>
          <c:smooth val="1"/>
        </c:ser>
        <c:dLbls>
          <c:showLegendKey val="0"/>
          <c:showVal val="0"/>
          <c:showCatName val="0"/>
          <c:showSerName val="0"/>
          <c:showPercent val="0"/>
          <c:showBubbleSize val="0"/>
        </c:dLbls>
        <c:axId val="43111936"/>
        <c:axId val="43113472"/>
      </c:scatterChart>
      <c:valAx>
        <c:axId val="431119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113472"/>
        <c:crosses val="autoZero"/>
        <c:crossBetween val="midCat"/>
      </c:valAx>
      <c:valAx>
        <c:axId val="4311347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111936"/>
        <c:crosses val="autoZero"/>
        <c:crossBetween val="midCat"/>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GB"/>
              <a:t>Gough et al, polynomial, slope about 0.34</a:t>
            </a:r>
          </a:p>
        </c:rich>
      </c:tx>
      <c:overlay val="0"/>
    </c:title>
    <c:autoTitleDeleted val="0"/>
    <c:plotArea>
      <c:layout>
        <c:manualLayout>
          <c:layoutTarget val="inner"/>
          <c:xMode val="edge"/>
          <c:yMode val="edge"/>
          <c:x val="0.180321741032371"/>
          <c:y val="7.4548702245552642E-2"/>
          <c:w val="0.62389938757655328"/>
          <c:h val="0.8326195683872849"/>
        </c:manualLayout>
      </c:layout>
      <c:scatterChart>
        <c:scatterStyle val="smoothMarker"/>
        <c:varyColors val="0"/>
        <c:ser>
          <c:idx val="0"/>
          <c:order val="0"/>
          <c:trendline>
            <c:trendlineType val="poly"/>
            <c:order val="2"/>
            <c:dispRSqr val="0"/>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Sheet1!$B$10:$K$10</c:f>
              <c:numCache>
                <c:formatCode>General</c:formatCode>
                <c:ptCount val="10"/>
                <c:pt idx="0">
                  <c:v>7.0259999999999998</c:v>
                </c:pt>
                <c:pt idx="1">
                  <c:v>11.164999999999999</c:v>
                </c:pt>
                <c:pt idx="2">
                  <c:v>13.456</c:v>
                </c:pt>
                <c:pt idx="3">
                  <c:v>15.664999999999999</c:v>
                </c:pt>
                <c:pt idx="4">
                  <c:v>18.170999999999999</c:v>
                </c:pt>
                <c:pt idx="5">
                  <c:v>21.198</c:v>
                </c:pt>
                <c:pt idx="6">
                  <c:v>24.827999999999999</c:v>
                </c:pt>
                <c:pt idx="7">
                  <c:v>29.468</c:v>
                </c:pt>
                <c:pt idx="8">
                  <c:v>36.542999999999999</c:v>
                </c:pt>
                <c:pt idx="9">
                  <c:v>63.661000000000001</c:v>
                </c:pt>
              </c:numCache>
            </c:numRef>
          </c:xVal>
          <c:yVal>
            <c:numRef>
              <c:f>Sheet1!$B$11:$K$11</c:f>
              <c:numCache>
                <c:formatCode>General</c:formatCode>
                <c:ptCount val="10"/>
                <c:pt idx="0">
                  <c:v>10.199999999999999</c:v>
                </c:pt>
                <c:pt idx="1">
                  <c:v>11.8</c:v>
                </c:pt>
                <c:pt idx="2">
                  <c:v>13.04</c:v>
                </c:pt>
                <c:pt idx="3">
                  <c:v>12.84</c:v>
                </c:pt>
                <c:pt idx="4">
                  <c:v>13.44</c:v>
                </c:pt>
                <c:pt idx="5">
                  <c:v>14.47</c:v>
                </c:pt>
                <c:pt idx="6">
                  <c:v>15.55</c:v>
                </c:pt>
                <c:pt idx="7">
                  <c:v>17.05</c:v>
                </c:pt>
                <c:pt idx="8">
                  <c:v>18.89</c:v>
                </c:pt>
                <c:pt idx="9">
                  <c:v>24.52</c:v>
                </c:pt>
              </c:numCache>
            </c:numRef>
          </c:yVal>
          <c:smooth val="1"/>
        </c:ser>
        <c:dLbls>
          <c:showLegendKey val="0"/>
          <c:showVal val="0"/>
          <c:showCatName val="0"/>
          <c:showSerName val="0"/>
          <c:showPercent val="0"/>
          <c:showBubbleSize val="0"/>
        </c:dLbls>
        <c:axId val="43273600"/>
        <c:axId val="43291776"/>
      </c:scatterChart>
      <c:valAx>
        <c:axId val="432736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291776"/>
        <c:crosses val="autoZero"/>
        <c:crossBetween val="midCat"/>
      </c:valAx>
      <c:valAx>
        <c:axId val="4329177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273600"/>
        <c:crosses val="autoZero"/>
        <c:crossBetween val="midCat"/>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rendline>
            <c:trendlineType val="log"/>
            <c:dispRSqr val="0"/>
            <c:dispEq val="0"/>
          </c:trendline>
          <c:trendline>
            <c:trendlineType val="exp"/>
            <c:dispRSqr val="0"/>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Sheet1!$C$41:$F$41</c:f>
              <c:numCache>
                <c:formatCode>General</c:formatCode>
                <c:ptCount val="4"/>
                <c:pt idx="0">
                  <c:v>1.4</c:v>
                </c:pt>
                <c:pt idx="1">
                  <c:v>0.4</c:v>
                </c:pt>
                <c:pt idx="2">
                  <c:v>-0.6</c:v>
                </c:pt>
                <c:pt idx="3">
                  <c:v>-1.6</c:v>
                </c:pt>
              </c:numCache>
            </c:numRef>
          </c:xVal>
          <c:yVal>
            <c:numRef>
              <c:f>Sheet1!$C$42:$F$42</c:f>
              <c:numCache>
                <c:formatCode>General</c:formatCode>
                <c:ptCount val="4"/>
                <c:pt idx="0">
                  <c:v>10.9</c:v>
                </c:pt>
                <c:pt idx="1">
                  <c:v>10.7</c:v>
                </c:pt>
                <c:pt idx="2">
                  <c:v>9.1</c:v>
                </c:pt>
                <c:pt idx="3">
                  <c:v>8.4749999999999996</c:v>
                </c:pt>
              </c:numCache>
            </c:numRef>
          </c:yVal>
          <c:smooth val="1"/>
        </c:ser>
        <c:dLbls>
          <c:showLegendKey val="0"/>
          <c:showVal val="0"/>
          <c:showCatName val="0"/>
          <c:showSerName val="0"/>
          <c:showPercent val="0"/>
          <c:showBubbleSize val="0"/>
        </c:dLbls>
        <c:axId val="43133568"/>
        <c:axId val="43143552"/>
      </c:scatterChart>
      <c:valAx>
        <c:axId val="431335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143552"/>
        <c:crosses val="autoZero"/>
        <c:crossBetween val="midCat"/>
      </c:valAx>
      <c:valAx>
        <c:axId val="4314355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133568"/>
        <c:crosses val="autoZero"/>
        <c:crossBetween val="midCat"/>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rendline>
            <c:trendlineType val="linear"/>
            <c:dispRSqr val="0"/>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Sheet1!$B$21:$G$21</c:f>
              <c:numCache>
                <c:formatCode>General</c:formatCode>
                <c:ptCount val="6"/>
                <c:pt idx="0">
                  <c:v>15.6</c:v>
                </c:pt>
                <c:pt idx="1">
                  <c:v>20.8</c:v>
                </c:pt>
                <c:pt idx="2">
                  <c:v>26</c:v>
                </c:pt>
                <c:pt idx="3">
                  <c:v>31.2</c:v>
                </c:pt>
                <c:pt idx="4">
                  <c:v>36.4</c:v>
                </c:pt>
                <c:pt idx="5">
                  <c:v>41.6</c:v>
                </c:pt>
              </c:numCache>
            </c:numRef>
          </c:xVal>
          <c:yVal>
            <c:numRef>
              <c:f>Sheet1!$B$22:$G$22</c:f>
              <c:numCache>
                <c:formatCode>0.00</c:formatCode>
                <c:ptCount val="6"/>
                <c:pt idx="0">
                  <c:v>8.9583333333333339</c:v>
                </c:pt>
                <c:pt idx="1">
                  <c:v>10.208333333333334</c:v>
                </c:pt>
                <c:pt idx="2">
                  <c:v>11.875</c:v>
                </c:pt>
                <c:pt idx="3">
                  <c:v>13.541666666666668</c:v>
                </c:pt>
                <c:pt idx="4">
                  <c:v>15.416666666666668</c:v>
                </c:pt>
                <c:pt idx="5">
                  <c:v>17.083333333333336</c:v>
                </c:pt>
              </c:numCache>
            </c:numRef>
          </c:yVal>
          <c:smooth val="1"/>
        </c:ser>
        <c:dLbls>
          <c:showLegendKey val="0"/>
          <c:showVal val="0"/>
          <c:showCatName val="0"/>
          <c:showSerName val="0"/>
          <c:showPercent val="0"/>
          <c:showBubbleSize val="0"/>
        </c:dLbls>
        <c:axId val="43168512"/>
        <c:axId val="43170048"/>
      </c:scatterChart>
      <c:valAx>
        <c:axId val="431685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170048"/>
        <c:crosses val="autoZero"/>
        <c:crossBetween val="midCat"/>
      </c:valAx>
      <c:valAx>
        <c:axId val="4317004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168512"/>
        <c:crosses val="autoZero"/>
        <c:crossBetween val="midCat"/>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Sheet2!$AD$15</c:f>
              <c:strCache>
                <c:ptCount val="1"/>
                <c:pt idx="0">
                  <c:v>PUBLIC</c:v>
                </c:pt>
              </c:strCache>
            </c:strRef>
          </c:tx>
          <c:invertIfNegative val="0"/>
          <c:val>
            <c:numRef>
              <c:f>Sheet2!$AE$15</c:f>
              <c:numCache>
                <c:formatCode>General</c:formatCode>
                <c:ptCount val="1"/>
                <c:pt idx="0">
                  <c:v>5.17</c:v>
                </c:pt>
              </c:numCache>
            </c:numRef>
          </c:val>
        </c:ser>
        <c:ser>
          <c:idx val="1"/>
          <c:order val="1"/>
          <c:tx>
            <c:strRef>
              <c:f>Sheet2!$AD$16</c:f>
              <c:strCache>
                <c:ptCount val="1"/>
                <c:pt idx="0">
                  <c:v>SERVICES</c:v>
                </c:pt>
              </c:strCache>
            </c:strRef>
          </c:tx>
          <c:invertIfNegative val="0"/>
          <c:val>
            <c:numRef>
              <c:f>Sheet2!$AE$16</c:f>
              <c:numCache>
                <c:formatCode>General</c:formatCode>
                <c:ptCount val="1"/>
                <c:pt idx="0">
                  <c:v>4.12</c:v>
                </c:pt>
              </c:numCache>
            </c:numRef>
          </c:val>
        </c:ser>
        <c:ser>
          <c:idx val="2"/>
          <c:order val="2"/>
          <c:tx>
            <c:strRef>
              <c:f>Sheet2!$AD$17</c:f>
              <c:strCache>
                <c:ptCount val="1"/>
                <c:pt idx="0">
                  <c:v>GOODS</c:v>
                </c:pt>
              </c:strCache>
            </c:strRef>
          </c:tx>
          <c:invertIfNegative val="0"/>
          <c:val>
            <c:numRef>
              <c:f>Sheet2!$AE$17</c:f>
              <c:numCache>
                <c:formatCode>General</c:formatCode>
                <c:ptCount val="1"/>
                <c:pt idx="0">
                  <c:v>6.3</c:v>
                </c:pt>
              </c:numCache>
            </c:numRef>
          </c:val>
        </c:ser>
        <c:ser>
          <c:idx val="3"/>
          <c:order val="3"/>
          <c:tx>
            <c:strRef>
              <c:f>Sheet2!$AD$18</c:f>
              <c:strCache>
                <c:ptCount val="1"/>
                <c:pt idx="0">
                  <c:v>FOOD</c:v>
                </c:pt>
              </c:strCache>
            </c:strRef>
          </c:tx>
          <c:invertIfNegative val="0"/>
          <c:val>
            <c:numRef>
              <c:f>Sheet2!$AE$18</c:f>
              <c:numCache>
                <c:formatCode>General</c:formatCode>
                <c:ptCount val="1"/>
                <c:pt idx="0">
                  <c:v>6.9</c:v>
                </c:pt>
              </c:numCache>
            </c:numRef>
          </c:val>
        </c:ser>
        <c:ser>
          <c:idx val="4"/>
          <c:order val="4"/>
          <c:tx>
            <c:strRef>
              <c:f>Sheet2!$AD$19</c:f>
              <c:strCache>
                <c:ptCount val="1"/>
                <c:pt idx="0">
                  <c:v>TRAVEL</c:v>
                </c:pt>
              </c:strCache>
            </c:strRef>
          </c:tx>
          <c:invertIfNegative val="0"/>
          <c:val>
            <c:numRef>
              <c:f>Sheet2!$AE$19</c:f>
              <c:numCache>
                <c:formatCode>General</c:formatCode>
                <c:ptCount val="1"/>
                <c:pt idx="0">
                  <c:v>7.81</c:v>
                </c:pt>
              </c:numCache>
            </c:numRef>
          </c:val>
        </c:ser>
        <c:ser>
          <c:idx val="5"/>
          <c:order val="5"/>
          <c:tx>
            <c:strRef>
              <c:f>Sheet2!$AD$20</c:f>
              <c:strCache>
                <c:ptCount val="1"/>
                <c:pt idx="0">
                  <c:v>HE</c:v>
                </c:pt>
              </c:strCache>
            </c:strRef>
          </c:tx>
          <c:invertIfNegative val="0"/>
          <c:val>
            <c:numRef>
              <c:f>Sheet2!$AE$20</c:f>
              <c:numCache>
                <c:formatCode>General</c:formatCode>
                <c:ptCount val="1"/>
                <c:pt idx="0">
                  <c:v>5.68</c:v>
                </c:pt>
              </c:numCache>
            </c:numRef>
          </c:val>
        </c:ser>
        <c:dLbls>
          <c:showLegendKey val="0"/>
          <c:showVal val="0"/>
          <c:showCatName val="0"/>
          <c:showSerName val="0"/>
          <c:showPercent val="0"/>
          <c:showBubbleSize val="0"/>
        </c:dLbls>
        <c:gapWidth val="150"/>
        <c:overlap val="100"/>
        <c:axId val="43600128"/>
        <c:axId val="43610112"/>
      </c:barChart>
      <c:catAx>
        <c:axId val="436001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610112"/>
        <c:crosses val="autoZero"/>
        <c:auto val="1"/>
        <c:lblAlgn val="ctr"/>
        <c:lblOffset val="100"/>
        <c:noMultiLvlLbl val="0"/>
      </c:catAx>
      <c:valAx>
        <c:axId val="4361011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600128"/>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Sheet3!$B$4</c:f>
              <c:strCache>
                <c:ptCount val="1"/>
                <c:pt idx="0">
                  <c:v>Space Heating</c:v>
                </c:pt>
              </c:strCache>
            </c:strRef>
          </c:tx>
          <c:invertIfNegative val="0"/>
          <c:val>
            <c:numRef>
              <c:f>Sheet3!$C$4</c:f>
              <c:numCache>
                <c:formatCode>General</c:formatCode>
                <c:ptCount val="1"/>
                <c:pt idx="0">
                  <c:v>3</c:v>
                </c:pt>
              </c:numCache>
            </c:numRef>
          </c:val>
        </c:ser>
        <c:ser>
          <c:idx val="1"/>
          <c:order val="1"/>
          <c:tx>
            <c:strRef>
              <c:f>Sheet3!$B$5</c:f>
              <c:strCache>
                <c:ptCount val="1"/>
                <c:pt idx="0">
                  <c:v>Water Heating</c:v>
                </c:pt>
              </c:strCache>
            </c:strRef>
          </c:tx>
          <c:invertIfNegative val="0"/>
          <c:val>
            <c:numRef>
              <c:f>Sheet3!$C$5</c:f>
              <c:numCache>
                <c:formatCode>General</c:formatCode>
                <c:ptCount val="1"/>
                <c:pt idx="0">
                  <c:v>1</c:v>
                </c:pt>
              </c:numCache>
            </c:numRef>
          </c:val>
        </c:ser>
        <c:ser>
          <c:idx val="2"/>
          <c:order val="2"/>
          <c:tx>
            <c:strRef>
              <c:f>Sheet3!$B$6</c:f>
              <c:strCache>
                <c:ptCount val="1"/>
                <c:pt idx="0">
                  <c:v>Appliances</c:v>
                </c:pt>
              </c:strCache>
            </c:strRef>
          </c:tx>
          <c:invertIfNegative val="0"/>
          <c:val>
            <c:numRef>
              <c:f>Sheet3!$C$6</c:f>
              <c:numCache>
                <c:formatCode>General</c:formatCode>
                <c:ptCount val="1"/>
                <c:pt idx="0">
                  <c:v>1.68</c:v>
                </c:pt>
              </c:numCache>
            </c:numRef>
          </c:val>
        </c:ser>
        <c:ser>
          <c:idx val="3"/>
          <c:order val="3"/>
          <c:tx>
            <c:strRef>
              <c:f>Sheet3!$B$7</c:f>
              <c:strCache>
                <c:ptCount val="1"/>
                <c:pt idx="0">
                  <c:v>Motor Fuels</c:v>
                </c:pt>
              </c:strCache>
            </c:strRef>
          </c:tx>
          <c:invertIfNegative val="0"/>
          <c:val>
            <c:numRef>
              <c:f>Sheet3!$C$7</c:f>
              <c:numCache>
                <c:formatCode>General</c:formatCode>
                <c:ptCount val="1"/>
                <c:pt idx="0">
                  <c:v>3.3</c:v>
                </c:pt>
              </c:numCache>
            </c:numRef>
          </c:val>
        </c:ser>
        <c:ser>
          <c:idx val="4"/>
          <c:order val="4"/>
          <c:tx>
            <c:strRef>
              <c:f>Sheet3!$B$8</c:f>
              <c:strCache>
                <c:ptCount val="1"/>
                <c:pt idx="0">
                  <c:v>purchase and maint</c:v>
                </c:pt>
              </c:strCache>
            </c:strRef>
          </c:tx>
          <c:invertIfNegative val="0"/>
          <c:val>
            <c:numRef>
              <c:f>Sheet3!$C$8</c:f>
              <c:numCache>
                <c:formatCode>General</c:formatCode>
                <c:ptCount val="1"/>
                <c:pt idx="0">
                  <c:v>1.66</c:v>
                </c:pt>
              </c:numCache>
            </c:numRef>
          </c:val>
        </c:ser>
        <c:ser>
          <c:idx val="5"/>
          <c:order val="5"/>
          <c:tx>
            <c:strRef>
              <c:f>Sheet3!$B$9</c:f>
              <c:strCache>
                <c:ptCount val="1"/>
                <c:pt idx="0">
                  <c:v>public</c:v>
                </c:pt>
              </c:strCache>
            </c:strRef>
          </c:tx>
          <c:invertIfNegative val="0"/>
          <c:val>
            <c:numRef>
              <c:f>Sheet3!$C$9</c:f>
              <c:numCache>
                <c:formatCode>General</c:formatCode>
                <c:ptCount val="1"/>
                <c:pt idx="0">
                  <c:v>0.99</c:v>
                </c:pt>
              </c:numCache>
            </c:numRef>
          </c:val>
        </c:ser>
        <c:ser>
          <c:idx val="6"/>
          <c:order val="6"/>
          <c:tx>
            <c:strRef>
              <c:f>Sheet3!$B$10</c:f>
              <c:strCache>
                <c:ptCount val="1"/>
                <c:pt idx="0">
                  <c:v>holiday journeys</c:v>
                </c:pt>
              </c:strCache>
            </c:strRef>
          </c:tx>
          <c:invertIfNegative val="0"/>
          <c:val>
            <c:numRef>
              <c:f>Sheet3!$C$10</c:f>
              <c:numCache>
                <c:formatCode>General</c:formatCode>
                <c:ptCount val="1"/>
                <c:pt idx="0">
                  <c:v>1.86</c:v>
                </c:pt>
              </c:numCache>
            </c:numRef>
          </c:val>
        </c:ser>
        <c:ser>
          <c:idx val="7"/>
          <c:order val="7"/>
          <c:tx>
            <c:strRef>
              <c:f>Sheet3!$B$11</c:f>
              <c:strCache>
                <c:ptCount val="1"/>
                <c:pt idx="0">
                  <c:v>Farming</c:v>
                </c:pt>
              </c:strCache>
            </c:strRef>
          </c:tx>
          <c:invertIfNegative val="0"/>
          <c:val>
            <c:numRef>
              <c:f>Sheet3!$C$11</c:f>
              <c:numCache>
                <c:formatCode>General</c:formatCode>
                <c:ptCount val="1"/>
                <c:pt idx="0">
                  <c:v>3.74</c:v>
                </c:pt>
              </c:numCache>
            </c:numRef>
          </c:val>
        </c:ser>
        <c:ser>
          <c:idx val="8"/>
          <c:order val="8"/>
          <c:tx>
            <c:strRef>
              <c:f>Sheet3!$B$12</c:f>
              <c:strCache>
                <c:ptCount val="1"/>
                <c:pt idx="0">
                  <c:v>Processing</c:v>
                </c:pt>
              </c:strCache>
            </c:strRef>
          </c:tx>
          <c:invertIfNegative val="0"/>
          <c:val>
            <c:numRef>
              <c:f>Sheet3!$C$12</c:f>
              <c:numCache>
                <c:formatCode>General</c:formatCode>
                <c:ptCount val="1"/>
                <c:pt idx="0">
                  <c:v>2.41</c:v>
                </c:pt>
              </c:numCache>
            </c:numRef>
          </c:val>
        </c:ser>
        <c:ser>
          <c:idx val="9"/>
          <c:order val="9"/>
          <c:tx>
            <c:strRef>
              <c:f>Sheet3!$B$13</c:f>
              <c:strCache>
                <c:ptCount val="1"/>
                <c:pt idx="0">
                  <c:v>Food waste</c:v>
                </c:pt>
              </c:strCache>
            </c:strRef>
          </c:tx>
          <c:invertIfNegative val="0"/>
          <c:val>
            <c:numRef>
              <c:f>Sheet3!$C$13</c:f>
              <c:numCache>
                <c:formatCode>General</c:formatCode>
                <c:ptCount val="1"/>
                <c:pt idx="0">
                  <c:v>0.76</c:v>
                </c:pt>
              </c:numCache>
            </c:numRef>
          </c:val>
        </c:ser>
        <c:ser>
          <c:idx val="10"/>
          <c:order val="10"/>
          <c:tx>
            <c:strRef>
              <c:f>Sheet3!$B$14</c:f>
              <c:strCache>
                <c:ptCount val="1"/>
                <c:pt idx="0">
                  <c:v>Construction</c:v>
                </c:pt>
              </c:strCache>
            </c:strRef>
          </c:tx>
          <c:invertIfNegative val="0"/>
          <c:val>
            <c:numRef>
              <c:f>Sheet3!$C$14</c:f>
              <c:numCache>
                <c:formatCode>General</c:formatCode>
                <c:ptCount val="1"/>
                <c:pt idx="0">
                  <c:v>1.99</c:v>
                </c:pt>
              </c:numCache>
            </c:numRef>
          </c:val>
        </c:ser>
        <c:ser>
          <c:idx val="11"/>
          <c:order val="11"/>
          <c:tx>
            <c:strRef>
              <c:f>Sheet3!$B$15</c:f>
              <c:strCache>
                <c:ptCount val="1"/>
                <c:pt idx="0">
                  <c:v>Clothing</c:v>
                </c:pt>
              </c:strCache>
            </c:strRef>
          </c:tx>
          <c:invertIfNegative val="0"/>
          <c:val>
            <c:numRef>
              <c:f>Sheet3!$C$15</c:f>
              <c:numCache>
                <c:formatCode>General</c:formatCode>
                <c:ptCount val="1"/>
                <c:pt idx="0">
                  <c:v>0.66</c:v>
                </c:pt>
              </c:numCache>
            </c:numRef>
          </c:val>
        </c:ser>
        <c:ser>
          <c:idx val="12"/>
          <c:order val="12"/>
          <c:tx>
            <c:strRef>
              <c:f>Sheet3!$B$16</c:f>
              <c:strCache>
                <c:ptCount val="1"/>
                <c:pt idx="0">
                  <c:v>Durable goods</c:v>
                </c:pt>
              </c:strCache>
            </c:strRef>
          </c:tx>
          <c:invertIfNegative val="0"/>
          <c:val>
            <c:numRef>
              <c:f>Sheet3!$C$16</c:f>
              <c:numCache>
                <c:formatCode>General</c:formatCode>
                <c:ptCount val="1"/>
                <c:pt idx="0">
                  <c:v>1.33</c:v>
                </c:pt>
              </c:numCache>
            </c:numRef>
          </c:val>
        </c:ser>
        <c:ser>
          <c:idx val="13"/>
          <c:order val="13"/>
          <c:tx>
            <c:strRef>
              <c:f>Sheet3!$B$17</c:f>
              <c:strCache>
                <c:ptCount val="1"/>
                <c:pt idx="0">
                  <c:v>Other goods and business emissions</c:v>
                </c:pt>
              </c:strCache>
            </c:strRef>
          </c:tx>
          <c:invertIfNegative val="0"/>
          <c:val>
            <c:numRef>
              <c:f>Sheet3!$C$17</c:f>
              <c:numCache>
                <c:formatCode>General</c:formatCode>
                <c:ptCount val="1"/>
                <c:pt idx="0">
                  <c:v>2.3199999999999998</c:v>
                </c:pt>
              </c:numCache>
            </c:numRef>
          </c:val>
        </c:ser>
        <c:ser>
          <c:idx val="14"/>
          <c:order val="14"/>
          <c:tx>
            <c:strRef>
              <c:f>Sheet3!$B$18</c:f>
              <c:strCache>
                <c:ptCount val="1"/>
                <c:pt idx="0">
                  <c:v>Recreation</c:v>
                </c:pt>
              </c:strCache>
            </c:strRef>
          </c:tx>
          <c:invertIfNegative val="0"/>
          <c:val>
            <c:numRef>
              <c:f>Sheet3!$C$18</c:f>
              <c:numCache>
                <c:formatCode>General</c:formatCode>
                <c:ptCount val="1"/>
                <c:pt idx="0">
                  <c:v>0.77</c:v>
                </c:pt>
              </c:numCache>
            </c:numRef>
          </c:val>
        </c:ser>
        <c:ser>
          <c:idx val="15"/>
          <c:order val="15"/>
          <c:tx>
            <c:strRef>
              <c:f>Sheet3!$B$19</c:f>
              <c:strCache>
                <c:ptCount val="1"/>
                <c:pt idx="0">
                  <c:v>Mortgages</c:v>
                </c:pt>
              </c:strCache>
            </c:strRef>
          </c:tx>
          <c:invertIfNegative val="0"/>
          <c:val>
            <c:numRef>
              <c:f>Sheet3!$C$19</c:f>
              <c:numCache>
                <c:formatCode>General</c:formatCode>
                <c:ptCount val="1"/>
                <c:pt idx="0">
                  <c:v>0.6</c:v>
                </c:pt>
              </c:numCache>
            </c:numRef>
          </c:val>
        </c:ser>
        <c:ser>
          <c:idx val="16"/>
          <c:order val="16"/>
          <c:tx>
            <c:strRef>
              <c:f>Sheet3!$B$20</c:f>
              <c:strCache>
                <c:ptCount val="1"/>
                <c:pt idx="0">
                  <c:v>Catering and hotels</c:v>
                </c:pt>
              </c:strCache>
            </c:strRef>
          </c:tx>
          <c:invertIfNegative val="0"/>
          <c:val>
            <c:numRef>
              <c:f>Sheet3!$C$20</c:f>
              <c:numCache>
                <c:formatCode>General</c:formatCode>
                <c:ptCount val="1"/>
                <c:pt idx="0">
                  <c:v>1.1100000000000001</c:v>
                </c:pt>
              </c:numCache>
            </c:numRef>
          </c:val>
        </c:ser>
        <c:ser>
          <c:idx val="17"/>
          <c:order val="17"/>
          <c:tx>
            <c:strRef>
              <c:f>Sheet3!$B$21</c:f>
              <c:strCache>
                <c:ptCount val="1"/>
                <c:pt idx="0">
                  <c:v>Other services and business emissions</c:v>
                </c:pt>
              </c:strCache>
            </c:strRef>
          </c:tx>
          <c:invertIfNegative val="0"/>
          <c:val>
            <c:numRef>
              <c:f>Sheet3!$C$21</c:f>
              <c:numCache>
                <c:formatCode>General</c:formatCode>
                <c:ptCount val="1"/>
                <c:pt idx="0">
                  <c:v>1.64</c:v>
                </c:pt>
              </c:numCache>
            </c:numRef>
          </c:val>
        </c:ser>
        <c:ser>
          <c:idx val="18"/>
          <c:order val="18"/>
          <c:tx>
            <c:strRef>
              <c:f>Sheet3!$B$22</c:f>
              <c:strCache>
                <c:ptCount val="1"/>
                <c:pt idx="0">
                  <c:v>Public services and investment</c:v>
                </c:pt>
              </c:strCache>
            </c:strRef>
          </c:tx>
          <c:invertIfNegative val="0"/>
          <c:val>
            <c:numRef>
              <c:f>Sheet3!$C$22</c:f>
              <c:numCache>
                <c:formatCode>General</c:formatCode>
                <c:ptCount val="1"/>
                <c:pt idx="0">
                  <c:v>5.17</c:v>
                </c:pt>
              </c:numCache>
            </c:numRef>
          </c:val>
        </c:ser>
        <c:dLbls>
          <c:showLegendKey val="0"/>
          <c:showVal val="0"/>
          <c:showCatName val="0"/>
          <c:showSerName val="0"/>
          <c:showPercent val="0"/>
          <c:showBubbleSize val="0"/>
        </c:dLbls>
        <c:gapWidth val="150"/>
        <c:overlap val="100"/>
        <c:axId val="43673856"/>
        <c:axId val="43675648"/>
      </c:barChart>
      <c:catAx>
        <c:axId val="436738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675648"/>
        <c:crosses val="autoZero"/>
        <c:auto val="1"/>
        <c:lblAlgn val="ctr"/>
        <c:lblOffset val="100"/>
        <c:noMultiLvlLbl val="0"/>
      </c:catAx>
      <c:valAx>
        <c:axId val="4367564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673856"/>
        <c:crosses val="autoZero"/>
        <c:crossBetween val="between"/>
      </c:valAx>
    </c:plotArea>
    <c:legend>
      <c:legendPos val="r"/>
      <c:layout>
        <c:manualLayout>
          <c:xMode val="edge"/>
          <c:yMode val="edge"/>
          <c:x val="0.64184711286089302"/>
          <c:y val="3.1169940966681488E-2"/>
          <c:w val="0.30815288713910782"/>
          <c:h val="0.9376601180666370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Sheet3!$G$36:$H$36</c:f>
              <c:numCache>
                <c:formatCode>General</c:formatCode>
                <c:ptCount val="2"/>
                <c:pt idx="0">
                  <c:v>40</c:v>
                </c:pt>
                <c:pt idx="1">
                  <c:v>150</c:v>
                </c:pt>
              </c:numCache>
            </c:numRef>
          </c:xVal>
          <c:yVal>
            <c:numRef>
              <c:f>Sheet3!$G$37:$H$37</c:f>
              <c:numCache>
                <c:formatCode>General</c:formatCode>
                <c:ptCount val="2"/>
                <c:pt idx="0">
                  <c:v>3.1</c:v>
                </c:pt>
                <c:pt idx="1">
                  <c:v>10.4</c:v>
                </c:pt>
              </c:numCache>
            </c:numRef>
          </c:yVal>
          <c:smooth val="0"/>
        </c:ser>
        <c:dLbls>
          <c:showLegendKey val="0"/>
          <c:showVal val="0"/>
          <c:showCatName val="0"/>
          <c:showSerName val="0"/>
          <c:showPercent val="0"/>
          <c:showBubbleSize val="0"/>
        </c:dLbls>
        <c:axId val="54919552"/>
        <c:axId val="54921088"/>
      </c:scatterChart>
      <c:valAx>
        <c:axId val="5491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4921088"/>
        <c:crosses val="autoZero"/>
        <c:crossBetween val="midCat"/>
      </c:valAx>
      <c:valAx>
        <c:axId val="5492108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491955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HE</a:t>
            </a:r>
          </a:p>
        </c:rich>
      </c:tx>
      <c:overlay val="1"/>
    </c:title>
    <c:autoTitleDeleted val="0"/>
    <c:plotArea>
      <c:layout/>
      <c:scatterChart>
        <c:scatterStyle val="smoothMarker"/>
        <c:varyColors val="0"/>
        <c:ser>
          <c:idx val="0"/>
          <c:order val="0"/>
          <c:xVal>
            <c:numRef>
              <c:f>'INCOME Elasticities'!$B$6:$K$6</c:f>
              <c:numCache>
                <c:formatCode>General</c:formatCode>
                <c:ptCount val="10"/>
                <c:pt idx="0">
                  <c:v>7.03</c:v>
                </c:pt>
                <c:pt idx="1">
                  <c:v>11.17</c:v>
                </c:pt>
                <c:pt idx="2">
                  <c:v>13.46</c:v>
                </c:pt>
                <c:pt idx="3">
                  <c:v>15.67</c:v>
                </c:pt>
                <c:pt idx="4">
                  <c:v>18.170000000000002</c:v>
                </c:pt>
                <c:pt idx="5">
                  <c:v>21.2</c:v>
                </c:pt>
                <c:pt idx="6">
                  <c:v>24.83</c:v>
                </c:pt>
                <c:pt idx="7">
                  <c:v>29.47</c:v>
                </c:pt>
                <c:pt idx="8">
                  <c:v>36.54</c:v>
                </c:pt>
                <c:pt idx="9">
                  <c:v>63.67</c:v>
                </c:pt>
              </c:numCache>
            </c:numRef>
          </c:xVal>
          <c:yVal>
            <c:numRef>
              <c:f>'INCOME Elasticities'!$B$7:$K$7</c:f>
              <c:numCache>
                <c:formatCode>General</c:formatCode>
                <c:ptCount val="10"/>
                <c:pt idx="0">
                  <c:v>3.85</c:v>
                </c:pt>
                <c:pt idx="1">
                  <c:v>3.85</c:v>
                </c:pt>
                <c:pt idx="2">
                  <c:v>3.75</c:v>
                </c:pt>
                <c:pt idx="3">
                  <c:v>3.56</c:v>
                </c:pt>
                <c:pt idx="4">
                  <c:v>3.64</c:v>
                </c:pt>
                <c:pt idx="5">
                  <c:v>3.82</c:v>
                </c:pt>
                <c:pt idx="6">
                  <c:v>3.95</c:v>
                </c:pt>
                <c:pt idx="7">
                  <c:v>4.13</c:v>
                </c:pt>
                <c:pt idx="8">
                  <c:v>4.4800000000000004</c:v>
                </c:pt>
                <c:pt idx="9">
                  <c:v>5.59</c:v>
                </c:pt>
              </c:numCache>
            </c:numRef>
          </c:yVal>
          <c:smooth val="1"/>
        </c:ser>
        <c:dLbls>
          <c:showLegendKey val="0"/>
          <c:showVal val="0"/>
          <c:showCatName val="0"/>
          <c:showSerName val="0"/>
          <c:showPercent val="0"/>
          <c:showBubbleSize val="0"/>
        </c:dLbls>
        <c:axId val="55387648"/>
        <c:axId val="55389184"/>
      </c:scatterChart>
      <c:valAx>
        <c:axId val="553876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389184"/>
        <c:crosses val="autoZero"/>
        <c:crossBetween val="midCat"/>
      </c:valAx>
      <c:valAx>
        <c:axId val="5538918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387648"/>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732687922206478"/>
          <c:y val="0.1742835697450387"/>
          <c:w val="0.43575061314057068"/>
          <c:h val="0.72074121882305742"/>
        </c:manualLayout>
      </c:layout>
      <c:barChart>
        <c:barDir val="col"/>
        <c:grouping val="stacked"/>
        <c:varyColors val="0"/>
        <c:ser>
          <c:idx val="6"/>
          <c:order val="0"/>
          <c:tx>
            <c:strRef>
              <c:f>'Your Elephant'!$B$12</c:f>
              <c:strCache>
                <c:ptCount val="1"/>
                <c:pt idx="0">
                  <c:v>NE</c:v>
                </c:pt>
              </c:strCache>
            </c:strRef>
          </c:tx>
          <c:invertIfNegative val="0"/>
          <c:cat>
            <c:strRef>
              <c:f>'Your Elephant'!$D$5:$E$5</c:f>
              <c:strCache>
                <c:ptCount val="2"/>
                <c:pt idx="0">
                  <c:v>YOUR CHOICES</c:v>
                </c:pt>
                <c:pt idx="1">
                  <c:v>AVERAGE</c:v>
                </c:pt>
              </c:strCache>
            </c:strRef>
          </c:cat>
          <c:val>
            <c:numRef>
              <c:f>'Your Elephant'!$D$12:$E$12</c:f>
              <c:numCache>
                <c:formatCode>0.0</c:formatCode>
                <c:ptCount val="2"/>
                <c:pt idx="0">
                  <c:v>0</c:v>
                </c:pt>
                <c:pt idx="1">
                  <c:v>0</c:v>
                </c:pt>
              </c:numCache>
            </c:numRef>
          </c:val>
        </c:ser>
        <c:ser>
          <c:idx val="5"/>
          <c:order val="1"/>
          <c:tx>
            <c:strRef>
              <c:f>'Your Elephant'!$B$11</c:f>
              <c:strCache>
                <c:ptCount val="1"/>
                <c:pt idx="0">
                  <c:v>PS</c:v>
                </c:pt>
              </c:strCache>
            </c:strRef>
          </c:tx>
          <c:spPr>
            <a:gradFill flip="none" rotWithShape="1">
              <a:gsLst>
                <a:gs pos="0">
                  <a:schemeClr val="tx1">
                    <a:lumMod val="85000"/>
                    <a:lumOff val="15000"/>
                    <a:tint val="66000"/>
                    <a:satMod val="160000"/>
                  </a:schemeClr>
                </a:gs>
                <a:gs pos="50000">
                  <a:schemeClr val="tx1">
                    <a:lumMod val="85000"/>
                    <a:lumOff val="15000"/>
                    <a:tint val="44500"/>
                    <a:satMod val="160000"/>
                  </a:schemeClr>
                </a:gs>
                <a:gs pos="100000">
                  <a:schemeClr val="tx1">
                    <a:lumMod val="85000"/>
                    <a:lumOff val="15000"/>
                    <a:tint val="23500"/>
                    <a:satMod val="160000"/>
                  </a:schemeClr>
                </a:gs>
              </a:gsLst>
              <a:lin ang="0" scaled="1"/>
              <a:tileRect/>
            </a:gradFill>
          </c:spPr>
          <c:invertIfNegative val="0"/>
          <c:cat>
            <c:strRef>
              <c:f>'Your Elephant'!$D$5:$E$5</c:f>
              <c:strCache>
                <c:ptCount val="2"/>
                <c:pt idx="0">
                  <c:v>YOUR CHOICES</c:v>
                </c:pt>
                <c:pt idx="1">
                  <c:v>AVERAGE</c:v>
                </c:pt>
              </c:strCache>
            </c:strRef>
          </c:cat>
          <c:val>
            <c:numRef>
              <c:f>'Your Elephant'!$D$11:$E$11</c:f>
              <c:numCache>
                <c:formatCode>0.0</c:formatCode>
                <c:ptCount val="2"/>
                <c:pt idx="0">
                  <c:v>2.6304347826086958</c:v>
                </c:pt>
                <c:pt idx="1">
                  <c:v>2.6304347826086958</c:v>
                </c:pt>
              </c:numCache>
            </c:numRef>
          </c:val>
        </c:ser>
        <c:ser>
          <c:idx val="4"/>
          <c:order val="2"/>
          <c:tx>
            <c:strRef>
              <c:f>'Your Elephant'!$B$10</c:f>
              <c:strCache>
                <c:ptCount val="1"/>
                <c:pt idx="0">
                  <c:v>G&amp;S</c:v>
                </c:pt>
              </c:strCache>
            </c:strRef>
          </c:tx>
          <c:spPr>
            <a:gradFill flip="none" rotWithShape="1">
              <a:gsLst>
                <a:gs pos="0">
                  <a:schemeClr val="accent5">
                    <a:shade val="30000"/>
                    <a:satMod val="115000"/>
                    <a:lumMod val="80000"/>
                  </a:schemeClr>
                </a:gs>
                <a:gs pos="50000">
                  <a:schemeClr val="accent5">
                    <a:lumMod val="75000"/>
                    <a:shade val="67500"/>
                    <a:satMod val="115000"/>
                  </a:schemeClr>
                </a:gs>
                <a:gs pos="100000">
                  <a:schemeClr val="accent5">
                    <a:lumMod val="75000"/>
                    <a:shade val="100000"/>
                    <a:satMod val="115000"/>
                  </a:schemeClr>
                </a:gs>
              </a:gsLst>
              <a:lin ang="0" scaled="1"/>
              <a:tileRect/>
            </a:gradFill>
          </c:spPr>
          <c:invertIfNegative val="0"/>
          <c:cat>
            <c:strRef>
              <c:f>'Your Elephant'!$D$5:$E$5</c:f>
              <c:strCache>
                <c:ptCount val="2"/>
                <c:pt idx="0">
                  <c:v>YOUR CHOICES</c:v>
                </c:pt>
                <c:pt idx="1">
                  <c:v>AVERAGE</c:v>
                </c:pt>
              </c:strCache>
            </c:strRef>
          </c:cat>
          <c:val>
            <c:numRef>
              <c:f>'Your Elephant'!$D$10:$E$10</c:f>
              <c:numCache>
                <c:formatCode>0.0</c:formatCode>
                <c:ptCount val="2"/>
                <c:pt idx="0">
                  <c:v>4.3250000000000002</c:v>
                </c:pt>
                <c:pt idx="1">
                  <c:v>4.34</c:v>
                </c:pt>
              </c:numCache>
            </c:numRef>
          </c:val>
        </c:ser>
        <c:ser>
          <c:idx val="3"/>
          <c:order val="3"/>
          <c:tx>
            <c:strRef>
              <c:f>'Your Elephant'!$B$9</c:f>
              <c:strCache>
                <c:ptCount val="1"/>
                <c:pt idx="0">
                  <c:v>F</c:v>
                </c:pt>
              </c:strCache>
            </c:strRef>
          </c:tx>
          <c:spPr>
            <a:gradFill flip="none" rotWithShape="1">
              <a:gsLst>
                <a:gs pos="0">
                  <a:srgbClr val="00B050">
                    <a:shade val="30000"/>
                    <a:satMod val="115000"/>
                    <a:lumMod val="95000"/>
                    <a:lumOff val="5000"/>
                  </a:srgbClr>
                </a:gs>
                <a:gs pos="50000">
                  <a:srgbClr val="00B050">
                    <a:shade val="67500"/>
                    <a:satMod val="115000"/>
                  </a:srgbClr>
                </a:gs>
                <a:gs pos="100000">
                  <a:srgbClr val="00B05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Elephant'!$D$9:$E$9</c:f>
              <c:numCache>
                <c:formatCode>0.0</c:formatCode>
                <c:ptCount val="2"/>
                <c:pt idx="0">
                  <c:v>0.4596159999999998</c:v>
                </c:pt>
                <c:pt idx="1">
                  <c:v>3.05</c:v>
                </c:pt>
              </c:numCache>
            </c:numRef>
          </c:val>
        </c:ser>
        <c:ser>
          <c:idx val="2"/>
          <c:order val="4"/>
          <c:tx>
            <c:strRef>
              <c:f>'Your Elephant'!$B$8</c:f>
              <c:strCache>
                <c:ptCount val="1"/>
                <c:pt idx="0">
                  <c:v>FLY</c:v>
                </c:pt>
              </c:strCache>
            </c:strRef>
          </c:tx>
          <c:spPr>
            <a:gradFill flip="none" rotWithShape="1">
              <a:gsLst>
                <a:gs pos="0">
                  <a:srgbClr val="FFFF00">
                    <a:shade val="30000"/>
                    <a:satMod val="115000"/>
                    <a:lumMod val="90000"/>
                    <a:lumOff val="10000"/>
                  </a:srgbClr>
                </a:gs>
                <a:gs pos="50000">
                  <a:srgbClr val="FFFF00">
                    <a:shade val="67500"/>
                    <a:satMod val="115000"/>
                  </a:srgbClr>
                </a:gs>
                <a:gs pos="100000">
                  <a:srgbClr val="FFFF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Elephant'!$D$8:$E$8</c:f>
              <c:numCache>
                <c:formatCode>0.0</c:formatCode>
                <c:ptCount val="2"/>
                <c:pt idx="0">
                  <c:v>0.79799999999999993</c:v>
                </c:pt>
                <c:pt idx="1">
                  <c:v>0.78</c:v>
                </c:pt>
              </c:numCache>
            </c:numRef>
          </c:val>
        </c:ser>
        <c:ser>
          <c:idx val="1"/>
          <c:order val="5"/>
          <c:tx>
            <c:strRef>
              <c:f>'Your Elephant'!$B$7</c:f>
              <c:strCache>
                <c:ptCount val="1"/>
                <c:pt idx="0">
                  <c:v>TRA</c:v>
                </c:pt>
              </c:strCache>
            </c:strRef>
          </c:tx>
          <c:spPr>
            <a:gradFill flip="none" rotWithShape="1">
              <a:gsLst>
                <a:gs pos="0">
                  <a:srgbClr val="FFC000">
                    <a:shade val="30000"/>
                    <a:satMod val="115000"/>
                    <a:lumMod val="95000"/>
                    <a:lumOff val="5000"/>
                  </a:srgbClr>
                </a:gs>
                <a:gs pos="50000">
                  <a:srgbClr val="FFC000">
                    <a:shade val="67500"/>
                    <a:satMod val="115000"/>
                  </a:srgbClr>
                </a:gs>
                <a:gs pos="100000">
                  <a:srgbClr val="FFC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Elephant'!$D$7:$E$7</c:f>
              <c:numCache>
                <c:formatCode>0.0</c:formatCode>
                <c:ptCount val="2"/>
                <c:pt idx="0">
                  <c:v>2.4538434782608691</c:v>
                </c:pt>
                <c:pt idx="1">
                  <c:v>2.59</c:v>
                </c:pt>
              </c:numCache>
            </c:numRef>
          </c:val>
        </c:ser>
        <c:ser>
          <c:idx val="0"/>
          <c:order val="6"/>
          <c:tx>
            <c:strRef>
              <c:f>'Your Elephant'!$B$6</c:f>
              <c:strCache>
                <c:ptCount val="1"/>
                <c:pt idx="0">
                  <c:v>HE</c:v>
                </c:pt>
              </c:strCache>
            </c:strRef>
          </c:tx>
          <c:spPr>
            <a:gradFill flip="none" rotWithShape="1">
              <a:gsLst>
                <a:gs pos="0">
                  <a:srgbClr val="CC0000">
                    <a:shade val="30000"/>
                    <a:satMod val="115000"/>
                    <a:lumMod val="95000"/>
                    <a:lumOff val="5000"/>
                  </a:srgbClr>
                </a:gs>
                <a:gs pos="50000">
                  <a:srgbClr val="CC0000">
                    <a:shade val="67500"/>
                    <a:satMod val="115000"/>
                  </a:srgbClr>
                </a:gs>
                <a:gs pos="100000">
                  <a:srgbClr val="CC0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Elephant'!$D$6:$E$6</c:f>
              <c:numCache>
                <c:formatCode>0.0</c:formatCode>
                <c:ptCount val="2"/>
                <c:pt idx="0">
                  <c:v>2.4424325217391307</c:v>
                </c:pt>
                <c:pt idx="1">
                  <c:v>2.4700000000000002</c:v>
                </c:pt>
              </c:numCache>
            </c:numRef>
          </c:val>
        </c:ser>
        <c:dLbls>
          <c:showLegendKey val="0"/>
          <c:showVal val="0"/>
          <c:showCatName val="0"/>
          <c:showSerName val="0"/>
          <c:showPercent val="0"/>
          <c:showBubbleSize val="0"/>
        </c:dLbls>
        <c:gapWidth val="70"/>
        <c:overlap val="100"/>
        <c:axId val="89401216"/>
        <c:axId val="89402752"/>
      </c:barChart>
      <c:catAx>
        <c:axId val="89401216"/>
        <c:scaling>
          <c:orientation val="minMax"/>
        </c:scaling>
        <c:delete val="0"/>
        <c:axPos val="b"/>
        <c:numFmt formatCode="General" sourceLinked="0"/>
        <c:majorTickMark val="out"/>
        <c:minorTickMark val="none"/>
        <c:tickLblPos val="nextTo"/>
        <c:crossAx val="89402752"/>
        <c:crosses val="autoZero"/>
        <c:auto val="1"/>
        <c:lblAlgn val="ctr"/>
        <c:lblOffset val="100"/>
        <c:noMultiLvlLbl val="0"/>
      </c:catAx>
      <c:valAx>
        <c:axId val="89402752"/>
        <c:scaling>
          <c:orientation val="minMax"/>
        </c:scaling>
        <c:delete val="0"/>
        <c:axPos val="l"/>
        <c:title>
          <c:tx>
            <c:rich>
              <a:bodyPr rot="-5400000" vert="horz"/>
              <a:lstStyle/>
              <a:p>
                <a:pPr>
                  <a:defRPr b="0"/>
                </a:pPr>
                <a:r>
                  <a:rPr lang="en-US" b="0"/>
                  <a:t>PERSONAL CARBON FOOTPRINT, TONNES CO2E PER YEAR</a:t>
                </a:r>
              </a:p>
            </c:rich>
          </c:tx>
          <c:layout>
            <c:manualLayout>
              <c:xMode val="edge"/>
              <c:yMode val="edge"/>
              <c:x val="0.2667124478292674"/>
              <c:y val="0.28468048993875794"/>
            </c:manualLayout>
          </c:layout>
          <c:overlay val="0"/>
        </c:title>
        <c:numFmt formatCode="0" sourceLinked="0"/>
        <c:majorTickMark val="out"/>
        <c:minorTickMark val="none"/>
        <c:tickLblPos val="nextTo"/>
        <c:crossAx val="89401216"/>
        <c:crosses val="autoZero"/>
        <c:crossBetween val="between"/>
      </c:valAx>
      <c:spPr>
        <a:noFill/>
      </c:spPr>
    </c:plotArea>
    <c:legend>
      <c:legendPos val="r"/>
      <c:layout>
        <c:manualLayout>
          <c:xMode val="edge"/>
          <c:yMode val="edge"/>
          <c:x val="5.0923454240351121E-2"/>
          <c:y val="0.40054173228346457"/>
          <c:w val="0.16322189234542409"/>
          <c:h val="0.30015485564304473"/>
        </c:manualLayout>
      </c:layout>
      <c:overlay val="0"/>
      <c:txPr>
        <a:bodyPr/>
        <a:lstStyle/>
        <a:p>
          <a:pPr>
            <a:defRPr sz="1100">
              <a:latin typeface="Calibri Light" panose="020F0302020204030204" pitchFamily="34" charset="0"/>
            </a:defRPr>
          </a:pPr>
          <a:endParaRPr lang="en-U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TRAVEL</a:t>
            </a:r>
          </a:p>
        </c:rich>
      </c:tx>
      <c:layout>
        <c:manualLayout>
          <c:xMode val="edge"/>
          <c:yMode val="edge"/>
          <c:x val="0.28023508826102611"/>
          <c:y val="0.67086040866052199"/>
        </c:manualLayout>
      </c:layout>
      <c:overlay val="1"/>
    </c:title>
    <c:autoTitleDeleted val="0"/>
    <c:plotArea>
      <c:layout>
        <c:manualLayout>
          <c:layoutTarget val="inner"/>
          <c:xMode val="edge"/>
          <c:yMode val="edge"/>
          <c:x val="0.10899778704132572"/>
          <c:y val="5.0523411536015361E-2"/>
          <c:w val="0.80697606916782449"/>
          <c:h val="0.83547588974586351"/>
        </c:manualLayout>
      </c:layout>
      <c:scatterChart>
        <c:scatterStyle val="smoothMarker"/>
        <c:varyColors val="0"/>
        <c:ser>
          <c:idx val="0"/>
          <c:order val="0"/>
          <c:trendline>
            <c:trendlineType val="poly"/>
            <c:order val="2"/>
            <c:dispRSqr val="0"/>
            <c:dispEq val="1"/>
            <c:trendlineLbl>
              <c:layout>
                <c:manualLayout>
                  <c:x val="1.045751633986928E-2"/>
                  <c:y val="6.3192189133598142E-2"/>
                </c:manualLayout>
              </c:layout>
              <c:numFmt formatCode="#,##0.000000"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'INCOME Elasticities'!$B$8:$K$8</c:f>
              <c:numCache>
                <c:formatCode>General</c:formatCode>
                <c:ptCount val="10"/>
                <c:pt idx="0">
                  <c:v>7.03</c:v>
                </c:pt>
                <c:pt idx="1">
                  <c:v>11.17</c:v>
                </c:pt>
                <c:pt idx="2">
                  <c:v>13.46</c:v>
                </c:pt>
                <c:pt idx="3">
                  <c:v>15.67</c:v>
                </c:pt>
                <c:pt idx="4">
                  <c:v>18.170000000000002</c:v>
                </c:pt>
                <c:pt idx="5">
                  <c:v>21.2</c:v>
                </c:pt>
                <c:pt idx="6">
                  <c:v>24.83</c:v>
                </c:pt>
                <c:pt idx="7">
                  <c:v>29.47</c:v>
                </c:pt>
                <c:pt idx="8">
                  <c:v>36.54</c:v>
                </c:pt>
                <c:pt idx="9">
                  <c:v>63.67</c:v>
                </c:pt>
              </c:numCache>
            </c:numRef>
          </c:xVal>
          <c:yVal>
            <c:numRef>
              <c:f>'INCOME Elasticities'!$B$9:$K$9</c:f>
              <c:numCache>
                <c:formatCode>General</c:formatCode>
                <c:ptCount val="10"/>
                <c:pt idx="0">
                  <c:v>1.73</c:v>
                </c:pt>
                <c:pt idx="1">
                  <c:v>1.77</c:v>
                </c:pt>
                <c:pt idx="2">
                  <c:v>2.77</c:v>
                </c:pt>
                <c:pt idx="3">
                  <c:v>3.05</c:v>
                </c:pt>
                <c:pt idx="4">
                  <c:v>3.03</c:v>
                </c:pt>
                <c:pt idx="5">
                  <c:v>3.65</c:v>
                </c:pt>
                <c:pt idx="6">
                  <c:v>3.89</c:v>
                </c:pt>
                <c:pt idx="7">
                  <c:v>4.88</c:v>
                </c:pt>
                <c:pt idx="8">
                  <c:v>5.31</c:v>
                </c:pt>
                <c:pt idx="9">
                  <c:v>7.73</c:v>
                </c:pt>
              </c:numCache>
            </c:numRef>
          </c:yVal>
          <c:smooth val="1"/>
        </c:ser>
        <c:dLbls>
          <c:showLegendKey val="0"/>
          <c:showVal val="0"/>
          <c:showCatName val="0"/>
          <c:showSerName val="0"/>
          <c:showPercent val="0"/>
          <c:showBubbleSize val="0"/>
        </c:dLbls>
        <c:axId val="55409664"/>
        <c:axId val="55411456"/>
      </c:scatterChart>
      <c:valAx>
        <c:axId val="554096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411456"/>
        <c:crosses val="autoZero"/>
        <c:crossBetween val="midCat"/>
      </c:valAx>
      <c:valAx>
        <c:axId val="5541145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409664"/>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FOOD</a:t>
            </a:r>
          </a:p>
        </c:rich>
      </c:tx>
      <c:overlay val="0"/>
    </c:title>
    <c:autoTitleDeleted val="0"/>
    <c:plotArea>
      <c:layout/>
      <c:scatterChart>
        <c:scatterStyle val="smoothMarker"/>
        <c:varyColors val="0"/>
        <c:ser>
          <c:idx val="0"/>
          <c:order val="0"/>
          <c:trendline>
            <c:trendlineType val="poly"/>
            <c:order val="2"/>
            <c:dispRSqr val="0"/>
            <c:dispEq val="1"/>
            <c:trendlineLbl>
              <c:numFmt formatCode="#,##0.000000"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'INCOME Elasticities'!$B$10:$K$10</c:f>
              <c:numCache>
                <c:formatCode>General</c:formatCode>
                <c:ptCount val="10"/>
                <c:pt idx="0">
                  <c:v>7.03</c:v>
                </c:pt>
                <c:pt idx="1">
                  <c:v>11.17</c:v>
                </c:pt>
                <c:pt idx="2">
                  <c:v>13.46</c:v>
                </c:pt>
                <c:pt idx="3">
                  <c:v>15.67</c:v>
                </c:pt>
                <c:pt idx="4">
                  <c:v>18.170000000000002</c:v>
                </c:pt>
                <c:pt idx="5">
                  <c:v>21.2</c:v>
                </c:pt>
                <c:pt idx="6">
                  <c:v>24.83</c:v>
                </c:pt>
                <c:pt idx="7">
                  <c:v>29.47</c:v>
                </c:pt>
                <c:pt idx="8">
                  <c:v>36.54</c:v>
                </c:pt>
                <c:pt idx="9">
                  <c:v>63.67</c:v>
                </c:pt>
              </c:numCache>
            </c:numRef>
          </c:xVal>
          <c:yVal>
            <c:numRef>
              <c:f>'INCOME Elasticities'!$B$11:$K$11</c:f>
              <c:numCache>
                <c:formatCode>General</c:formatCode>
                <c:ptCount val="10"/>
                <c:pt idx="0">
                  <c:v>1.53</c:v>
                </c:pt>
                <c:pt idx="1">
                  <c:v>1.81</c:v>
                </c:pt>
                <c:pt idx="2">
                  <c:v>1.93</c:v>
                </c:pt>
                <c:pt idx="3">
                  <c:v>1.78</c:v>
                </c:pt>
                <c:pt idx="4">
                  <c:v>1.96</c:v>
                </c:pt>
                <c:pt idx="5">
                  <c:v>1.97</c:v>
                </c:pt>
                <c:pt idx="6">
                  <c:v>2.17</c:v>
                </c:pt>
                <c:pt idx="7">
                  <c:v>2.2599999999999998</c:v>
                </c:pt>
                <c:pt idx="8">
                  <c:v>2.5</c:v>
                </c:pt>
                <c:pt idx="9">
                  <c:v>2.77</c:v>
                </c:pt>
              </c:numCache>
            </c:numRef>
          </c:yVal>
          <c:smooth val="1"/>
        </c:ser>
        <c:dLbls>
          <c:showLegendKey val="0"/>
          <c:showVal val="0"/>
          <c:showCatName val="0"/>
          <c:showSerName val="0"/>
          <c:showPercent val="0"/>
          <c:showBubbleSize val="0"/>
        </c:dLbls>
        <c:axId val="55440512"/>
        <c:axId val="55442048"/>
      </c:scatterChart>
      <c:valAx>
        <c:axId val="554405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442048"/>
        <c:crosses val="autoZero"/>
        <c:crossBetween val="midCat"/>
      </c:valAx>
      <c:valAx>
        <c:axId val="5544204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44051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GOODS</a:t>
            </a:r>
          </a:p>
        </c:rich>
      </c:tx>
      <c:overlay val="0"/>
    </c:title>
    <c:autoTitleDeleted val="0"/>
    <c:plotArea>
      <c:layout/>
      <c:scatterChart>
        <c:scatterStyle val="smoothMarker"/>
        <c:varyColors val="0"/>
        <c:ser>
          <c:idx val="0"/>
          <c:order val="0"/>
          <c:trendline>
            <c:trendlineType val="poly"/>
            <c:order val="2"/>
            <c:dispRSqr val="0"/>
            <c:dispEq val="1"/>
            <c:trendlineLbl>
              <c:layout>
                <c:manualLayout>
                  <c:x val="0.34494177671131127"/>
                  <c:y val="0.33690973961236786"/>
                </c:manualLayout>
              </c:layout>
              <c:numFmt formatCode="#,##0.000000"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'INCOME Elasticities'!$B$12:$K$12</c:f>
              <c:numCache>
                <c:formatCode>General</c:formatCode>
                <c:ptCount val="10"/>
                <c:pt idx="0">
                  <c:v>7.03</c:v>
                </c:pt>
                <c:pt idx="1">
                  <c:v>11.17</c:v>
                </c:pt>
                <c:pt idx="2">
                  <c:v>13.46</c:v>
                </c:pt>
                <c:pt idx="3">
                  <c:v>15.67</c:v>
                </c:pt>
                <c:pt idx="4">
                  <c:v>18.170000000000002</c:v>
                </c:pt>
                <c:pt idx="5">
                  <c:v>21.2</c:v>
                </c:pt>
                <c:pt idx="6">
                  <c:v>24.83</c:v>
                </c:pt>
                <c:pt idx="7">
                  <c:v>29.47</c:v>
                </c:pt>
                <c:pt idx="8">
                  <c:v>36.54</c:v>
                </c:pt>
                <c:pt idx="9">
                  <c:v>63.67</c:v>
                </c:pt>
              </c:numCache>
            </c:numRef>
          </c:xVal>
          <c:yVal>
            <c:numRef>
              <c:f>'INCOME Elasticities'!$B$13:$K$13</c:f>
              <c:numCache>
                <c:formatCode>0.00</c:formatCode>
                <c:ptCount val="10"/>
                <c:pt idx="0">
                  <c:v>1.3938053097345133</c:v>
                </c:pt>
                <c:pt idx="1">
                  <c:v>1.7035398230088494</c:v>
                </c:pt>
                <c:pt idx="2">
                  <c:v>2.13716814159292</c:v>
                </c:pt>
                <c:pt idx="3">
                  <c:v>2.0907079646017701</c:v>
                </c:pt>
                <c:pt idx="4">
                  <c:v>2.5862831858407076</c:v>
                </c:pt>
                <c:pt idx="5">
                  <c:v>2.6172566371681412</c:v>
                </c:pt>
                <c:pt idx="6">
                  <c:v>3.0973451327433628</c:v>
                </c:pt>
                <c:pt idx="7">
                  <c:v>3.2986725663716809</c:v>
                </c:pt>
                <c:pt idx="8">
                  <c:v>4.1504424778761058</c:v>
                </c:pt>
                <c:pt idx="9">
                  <c:v>5.2809734513274336</c:v>
                </c:pt>
              </c:numCache>
            </c:numRef>
          </c:yVal>
          <c:smooth val="1"/>
        </c:ser>
        <c:dLbls>
          <c:showLegendKey val="0"/>
          <c:showVal val="0"/>
          <c:showCatName val="0"/>
          <c:showSerName val="0"/>
          <c:showPercent val="0"/>
          <c:showBubbleSize val="0"/>
        </c:dLbls>
        <c:axId val="55020544"/>
        <c:axId val="55026432"/>
      </c:scatterChart>
      <c:valAx>
        <c:axId val="550205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026432"/>
        <c:crosses val="autoZero"/>
        <c:crossBetween val="midCat"/>
      </c:valAx>
      <c:valAx>
        <c:axId val="5502643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020544"/>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SERVICES</a:t>
            </a:r>
          </a:p>
        </c:rich>
      </c:tx>
      <c:overlay val="0"/>
    </c:title>
    <c:autoTitleDeleted val="0"/>
    <c:plotArea>
      <c:layout/>
      <c:scatterChart>
        <c:scatterStyle val="smoothMarker"/>
        <c:varyColors val="0"/>
        <c:ser>
          <c:idx val="0"/>
          <c:order val="0"/>
          <c:trendline>
            <c:trendlineType val="linear"/>
            <c:dispRSqr val="0"/>
            <c:dispEq val="1"/>
            <c:trendlineLbl>
              <c:layout>
                <c:manualLayout>
                  <c:x val="0.17707649958389357"/>
                  <c:y val="-3.6684164479440083E-2"/>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'INCOME Elasticities'!$B$14:$K$14</c:f>
              <c:numCache>
                <c:formatCode>General</c:formatCode>
                <c:ptCount val="10"/>
                <c:pt idx="0">
                  <c:v>7.03</c:v>
                </c:pt>
                <c:pt idx="1">
                  <c:v>11.17</c:v>
                </c:pt>
                <c:pt idx="2">
                  <c:v>13.46</c:v>
                </c:pt>
                <c:pt idx="3">
                  <c:v>15.67</c:v>
                </c:pt>
                <c:pt idx="4">
                  <c:v>18.170000000000002</c:v>
                </c:pt>
                <c:pt idx="5">
                  <c:v>21.2</c:v>
                </c:pt>
                <c:pt idx="6">
                  <c:v>24.83</c:v>
                </c:pt>
                <c:pt idx="7">
                  <c:v>29.47</c:v>
                </c:pt>
                <c:pt idx="8">
                  <c:v>36.54</c:v>
                </c:pt>
                <c:pt idx="9">
                  <c:v>63.67</c:v>
                </c:pt>
              </c:numCache>
            </c:numRef>
          </c:xVal>
          <c:yVal>
            <c:numRef>
              <c:f>'INCOME Elasticities'!$B$15:$K$15</c:f>
              <c:numCache>
                <c:formatCode>General</c:formatCode>
                <c:ptCount val="10"/>
                <c:pt idx="0">
                  <c:v>0.95</c:v>
                </c:pt>
                <c:pt idx="1">
                  <c:v>1.05</c:v>
                </c:pt>
                <c:pt idx="2">
                  <c:v>1.18</c:v>
                </c:pt>
                <c:pt idx="3">
                  <c:v>1.22</c:v>
                </c:pt>
                <c:pt idx="4">
                  <c:v>1.39</c:v>
                </c:pt>
                <c:pt idx="5">
                  <c:v>1.53</c:v>
                </c:pt>
                <c:pt idx="6">
                  <c:v>1.81</c:v>
                </c:pt>
                <c:pt idx="7">
                  <c:v>1.96</c:v>
                </c:pt>
                <c:pt idx="8">
                  <c:v>2.2799999999999998</c:v>
                </c:pt>
                <c:pt idx="9">
                  <c:v>3.44</c:v>
                </c:pt>
              </c:numCache>
            </c:numRef>
          </c:yVal>
          <c:smooth val="1"/>
        </c:ser>
        <c:dLbls>
          <c:showLegendKey val="0"/>
          <c:showVal val="0"/>
          <c:showCatName val="0"/>
          <c:showSerName val="0"/>
          <c:showPercent val="0"/>
          <c:showBubbleSize val="0"/>
        </c:dLbls>
        <c:axId val="55972992"/>
        <c:axId val="55974528"/>
      </c:scatterChart>
      <c:valAx>
        <c:axId val="55972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974528"/>
        <c:crosses val="autoZero"/>
        <c:crossBetween val="midCat"/>
      </c:valAx>
      <c:valAx>
        <c:axId val="5597452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97299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n-GB"/>
              <a:t>PUBLIC SERVICES</a:t>
            </a:r>
          </a:p>
        </c:rich>
      </c:tx>
      <c:layout>
        <c:manualLayout>
          <c:xMode val="edge"/>
          <c:yMode val="edge"/>
          <c:x val="0.30624167612236242"/>
          <c:y val="0.50410931966837502"/>
        </c:manualLayout>
      </c:layout>
      <c:overlay val="1"/>
    </c:title>
    <c:autoTitleDeleted val="0"/>
    <c:plotArea>
      <c:layout/>
      <c:scatterChart>
        <c:scatterStyle val="smoothMarker"/>
        <c:varyColors val="0"/>
        <c:ser>
          <c:idx val="0"/>
          <c:order val="0"/>
          <c:trendline>
            <c:trendlineType val="poly"/>
            <c:order val="2"/>
            <c:dispRSqr val="0"/>
            <c:dispEq val="1"/>
            <c:trendlineLbl>
              <c:layout>
                <c:manualLayout>
                  <c:x val="-0.36790478034508006"/>
                  <c:y val="3.6667319570128386E-2"/>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'INCOME Elasticities'!$B$16:$K$16</c:f>
              <c:numCache>
                <c:formatCode>General</c:formatCode>
                <c:ptCount val="10"/>
                <c:pt idx="0">
                  <c:v>7.03</c:v>
                </c:pt>
                <c:pt idx="1">
                  <c:v>11.17</c:v>
                </c:pt>
                <c:pt idx="2">
                  <c:v>13.46</c:v>
                </c:pt>
                <c:pt idx="3">
                  <c:v>15.67</c:v>
                </c:pt>
                <c:pt idx="4">
                  <c:v>18.170000000000002</c:v>
                </c:pt>
                <c:pt idx="5">
                  <c:v>21.2</c:v>
                </c:pt>
                <c:pt idx="6">
                  <c:v>24.83</c:v>
                </c:pt>
                <c:pt idx="7">
                  <c:v>29.47</c:v>
                </c:pt>
                <c:pt idx="8">
                  <c:v>36.54</c:v>
                </c:pt>
                <c:pt idx="9">
                  <c:v>63.67</c:v>
                </c:pt>
              </c:numCache>
            </c:numRef>
          </c:xVal>
          <c:yVal>
            <c:numRef>
              <c:f>'INCOME Elasticities'!$B$17:$K$17</c:f>
              <c:numCache>
                <c:formatCode>General</c:formatCode>
                <c:ptCount val="10"/>
                <c:pt idx="0">
                  <c:v>1.96</c:v>
                </c:pt>
                <c:pt idx="1">
                  <c:v>2.14</c:v>
                </c:pt>
                <c:pt idx="2">
                  <c:v>1.97</c:v>
                </c:pt>
                <c:pt idx="3">
                  <c:v>1.83</c:v>
                </c:pt>
                <c:pt idx="4">
                  <c:v>1.7</c:v>
                </c:pt>
                <c:pt idx="5">
                  <c:v>1.75</c:v>
                </c:pt>
                <c:pt idx="6">
                  <c:v>1.67</c:v>
                </c:pt>
                <c:pt idx="7">
                  <c:v>1.64</c:v>
                </c:pt>
                <c:pt idx="8">
                  <c:v>1.58</c:v>
                </c:pt>
                <c:pt idx="9">
                  <c:v>1.52</c:v>
                </c:pt>
              </c:numCache>
            </c:numRef>
          </c:yVal>
          <c:smooth val="1"/>
        </c:ser>
        <c:dLbls>
          <c:showLegendKey val="0"/>
          <c:showVal val="0"/>
          <c:showCatName val="0"/>
          <c:showSerName val="0"/>
          <c:showPercent val="0"/>
          <c:showBubbleSize val="0"/>
        </c:dLbls>
        <c:axId val="55991296"/>
        <c:axId val="56009472"/>
      </c:scatterChart>
      <c:valAx>
        <c:axId val="559912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6009472"/>
        <c:crosses val="autoZero"/>
        <c:crossBetween val="midCat"/>
      </c:valAx>
      <c:valAx>
        <c:axId val="5600947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991296"/>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GB"/>
              <a:t>GOODS LOWER 9 DECILES</a:t>
            </a:r>
          </a:p>
        </c:rich>
      </c:tx>
      <c:overlay val="0"/>
    </c:title>
    <c:autoTitleDeleted val="0"/>
    <c:plotArea>
      <c:layout>
        <c:manualLayout>
          <c:layoutTarget val="inner"/>
          <c:xMode val="edge"/>
          <c:yMode val="edge"/>
          <c:x val="8.5162093157973837E-2"/>
          <c:y val="3.9764227980437855E-2"/>
          <c:w val="0.60238538932633401"/>
          <c:h val="0.8326195683872849"/>
        </c:manualLayout>
      </c:layout>
      <c:scatterChart>
        <c:scatterStyle val="smoothMarker"/>
        <c:varyColors val="0"/>
        <c:ser>
          <c:idx val="0"/>
          <c:order val="0"/>
          <c:trendline>
            <c:trendlineType val="linear"/>
            <c:dispRSqr val="0"/>
            <c:dispEq val="0"/>
          </c:trendline>
          <c:trendline>
            <c:trendlineType val="linear"/>
            <c:dispRSqr val="0"/>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'INCOME Elasticities'!$B$12:$J$12</c:f>
              <c:numCache>
                <c:formatCode>General</c:formatCode>
                <c:ptCount val="9"/>
                <c:pt idx="0">
                  <c:v>7.03</c:v>
                </c:pt>
                <c:pt idx="1">
                  <c:v>11.17</c:v>
                </c:pt>
                <c:pt idx="2">
                  <c:v>13.46</c:v>
                </c:pt>
                <c:pt idx="3">
                  <c:v>15.67</c:v>
                </c:pt>
                <c:pt idx="4">
                  <c:v>18.170000000000002</c:v>
                </c:pt>
                <c:pt idx="5">
                  <c:v>21.2</c:v>
                </c:pt>
                <c:pt idx="6">
                  <c:v>24.83</c:v>
                </c:pt>
                <c:pt idx="7">
                  <c:v>29.47</c:v>
                </c:pt>
                <c:pt idx="8">
                  <c:v>36.54</c:v>
                </c:pt>
              </c:numCache>
            </c:numRef>
          </c:xVal>
          <c:yVal>
            <c:numRef>
              <c:f>'INCOME Elasticities'!$B$13:$J$13</c:f>
              <c:numCache>
                <c:formatCode>0.00</c:formatCode>
                <c:ptCount val="9"/>
                <c:pt idx="0">
                  <c:v>1.3938053097345133</c:v>
                </c:pt>
                <c:pt idx="1">
                  <c:v>1.7035398230088494</c:v>
                </c:pt>
                <c:pt idx="2">
                  <c:v>2.13716814159292</c:v>
                </c:pt>
                <c:pt idx="3">
                  <c:v>2.0907079646017701</c:v>
                </c:pt>
                <c:pt idx="4">
                  <c:v>2.5862831858407076</c:v>
                </c:pt>
                <c:pt idx="5">
                  <c:v>2.6172566371681412</c:v>
                </c:pt>
                <c:pt idx="6">
                  <c:v>3.0973451327433628</c:v>
                </c:pt>
                <c:pt idx="7">
                  <c:v>3.2986725663716809</c:v>
                </c:pt>
                <c:pt idx="8">
                  <c:v>4.1504424778761058</c:v>
                </c:pt>
              </c:numCache>
            </c:numRef>
          </c:yVal>
          <c:smooth val="1"/>
        </c:ser>
        <c:dLbls>
          <c:showLegendKey val="0"/>
          <c:showVal val="0"/>
          <c:showCatName val="0"/>
          <c:showSerName val="0"/>
          <c:showPercent val="0"/>
          <c:showBubbleSize val="0"/>
        </c:dLbls>
        <c:axId val="56043392"/>
        <c:axId val="56044928"/>
      </c:scatterChart>
      <c:valAx>
        <c:axId val="560433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6044928"/>
        <c:crosses val="autoZero"/>
        <c:crossBetween val="midCat"/>
      </c:valAx>
      <c:valAx>
        <c:axId val="5604492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604339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GB"/>
              <a:t>HE UPPER 7 DECILES</a:t>
            </a:r>
          </a:p>
        </c:rich>
      </c:tx>
      <c:overlay val="0"/>
    </c:title>
    <c:autoTitleDeleted val="0"/>
    <c:plotArea>
      <c:layout/>
      <c:scatterChart>
        <c:scatterStyle val="smoothMarker"/>
        <c:varyColors val="0"/>
        <c:ser>
          <c:idx val="0"/>
          <c:order val="0"/>
          <c:trendline>
            <c:trendlineType val="linear"/>
            <c:dispRSqr val="0"/>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'INCOME Elasticities'!$E$6:$K$6</c:f>
              <c:numCache>
                <c:formatCode>General</c:formatCode>
                <c:ptCount val="7"/>
                <c:pt idx="0">
                  <c:v>15.67</c:v>
                </c:pt>
                <c:pt idx="1">
                  <c:v>18.170000000000002</c:v>
                </c:pt>
                <c:pt idx="2">
                  <c:v>21.2</c:v>
                </c:pt>
                <c:pt idx="3">
                  <c:v>24.83</c:v>
                </c:pt>
                <c:pt idx="4">
                  <c:v>29.47</c:v>
                </c:pt>
                <c:pt idx="5">
                  <c:v>36.54</c:v>
                </c:pt>
                <c:pt idx="6">
                  <c:v>63.67</c:v>
                </c:pt>
              </c:numCache>
            </c:numRef>
          </c:xVal>
          <c:yVal>
            <c:numRef>
              <c:f>'INCOME Elasticities'!$E$7:$K$7</c:f>
              <c:numCache>
                <c:formatCode>General</c:formatCode>
                <c:ptCount val="7"/>
                <c:pt idx="0">
                  <c:v>3.56</c:v>
                </c:pt>
                <c:pt idx="1">
                  <c:v>3.64</c:v>
                </c:pt>
                <c:pt idx="2">
                  <c:v>3.82</c:v>
                </c:pt>
                <c:pt idx="3">
                  <c:v>3.95</c:v>
                </c:pt>
                <c:pt idx="4">
                  <c:v>4.13</c:v>
                </c:pt>
                <c:pt idx="5">
                  <c:v>4.4800000000000004</c:v>
                </c:pt>
                <c:pt idx="6">
                  <c:v>5.59</c:v>
                </c:pt>
              </c:numCache>
            </c:numRef>
          </c:yVal>
          <c:smooth val="1"/>
        </c:ser>
        <c:dLbls>
          <c:showLegendKey val="0"/>
          <c:showVal val="0"/>
          <c:showCatName val="0"/>
          <c:showSerName val="0"/>
          <c:showPercent val="0"/>
          <c:showBubbleSize val="0"/>
        </c:dLbls>
        <c:axId val="56086528"/>
        <c:axId val="56088064"/>
      </c:scatterChart>
      <c:valAx>
        <c:axId val="560865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6088064"/>
        <c:crosses val="autoZero"/>
        <c:crossBetween val="midCat"/>
      </c:valAx>
      <c:valAx>
        <c:axId val="5608806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6086528"/>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power"/>
            <c:dispRSqr val="0"/>
            <c:dispEq val="1"/>
            <c:trendlineLbl>
              <c:layout>
                <c:manualLayout>
                  <c:x val="-6.8685039370078735E-2"/>
                  <c:y val="4.382655293088366E-2"/>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'INCOME Elasticities'!$C$16:$K$16</c:f>
              <c:numCache>
                <c:formatCode>General</c:formatCode>
                <c:ptCount val="9"/>
                <c:pt idx="0">
                  <c:v>11.17</c:v>
                </c:pt>
                <c:pt idx="1">
                  <c:v>13.46</c:v>
                </c:pt>
                <c:pt idx="2">
                  <c:v>15.67</c:v>
                </c:pt>
                <c:pt idx="3">
                  <c:v>18.170000000000002</c:v>
                </c:pt>
                <c:pt idx="4">
                  <c:v>21.2</c:v>
                </c:pt>
                <c:pt idx="5">
                  <c:v>24.83</c:v>
                </c:pt>
                <c:pt idx="6">
                  <c:v>29.47</c:v>
                </c:pt>
                <c:pt idx="7">
                  <c:v>36.54</c:v>
                </c:pt>
                <c:pt idx="8">
                  <c:v>63.67</c:v>
                </c:pt>
              </c:numCache>
            </c:numRef>
          </c:xVal>
          <c:yVal>
            <c:numRef>
              <c:f>'INCOME Elasticities'!$C$17:$K$17</c:f>
              <c:numCache>
                <c:formatCode>General</c:formatCode>
                <c:ptCount val="9"/>
                <c:pt idx="0">
                  <c:v>2.14</c:v>
                </c:pt>
                <c:pt idx="1">
                  <c:v>1.97</c:v>
                </c:pt>
                <c:pt idx="2">
                  <c:v>1.83</c:v>
                </c:pt>
                <c:pt idx="3">
                  <c:v>1.7</c:v>
                </c:pt>
                <c:pt idx="4">
                  <c:v>1.75</c:v>
                </c:pt>
                <c:pt idx="5">
                  <c:v>1.67</c:v>
                </c:pt>
                <c:pt idx="6">
                  <c:v>1.64</c:v>
                </c:pt>
                <c:pt idx="7">
                  <c:v>1.58</c:v>
                </c:pt>
                <c:pt idx="8">
                  <c:v>1.52</c:v>
                </c:pt>
              </c:numCache>
            </c:numRef>
          </c:yVal>
          <c:smooth val="0"/>
        </c:ser>
        <c:dLbls>
          <c:showLegendKey val="0"/>
          <c:showVal val="0"/>
          <c:showCatName val="0"/>
          <c:showSerName val="0"/>
          <c:showPercent val="0"/>
          <c:showBubbleSize val="0"/>
        </c:dLbls>
        <c:axId val="56121216"/>
        <c:axId val="56122752"/>
      </c:scatterChart>
      <c:valAx>
        <c:axId val="561212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6122752"/>
        <c:crosses val="autoZero"/>
        <c:crossBetween val="midCat"/>
      </c:valAx>
      <c:valAx>
        <c:axId val="5612275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6121216"/>
        <c:crosses val="autoZero"/>
        <c:crossBetween val="midCat"/>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'Income el formulae'!$H$9</c:f>
              <c:strCache>
                <c:ptCount val="1"/>
                <c:pt idx="0">
                  <c:v>PUBLIC</c:v>
                </c:pt>
              </c:strCache>
            </c:strRef>
          </c:tx>
          <c:invertIfNegative val="0"/>
          <c:cat>
            <c:strLit>
              <c:ptCount val="1"/>
              <c:pt idx="0">
                <c:v>Very Low</c:v>
              </c:pt>
            </c:strLit>
          </c:cat>
          <c:val>
            <c:numRef>
              <c:f>'Income el formulae'!$I$9:$M$9</c:f>
              <c:numCache>
                <c:formatCode>0.00</c:formatCode>
                <c:ptCount val="5"/>
                <c:pt idx="0">
                  <c:v>2.33</c:v>
                </c:pt>
                <c:pt idx="1">
                  <c:v>2.3256630405176959</c:v>
                </c:pt>
                <c:pt idx="2">
                  <c:v>2.1584699133003666</c:v>
                </c:pt>
                <c:pt idx="3">
                  <c:v>1.9448460646967296</c:v>
                </c:pt>
                <c:pt idx="4">
                  <c:v>1.7533083134588394</c:v>
                </c:pt>
              </c:numCache>
            </c:numRef>
          </c:val>
        </c:ser>
        <c:ser>
          <c:idx val="1"/>
          <c:order val="1"/>
          <c:tx>
            <c:strRef>
              <c:f>'Income el formulae'!$H$10</c:f>
              <c:strCache>
                <c:ptCount val="1"/>
                <c:pt idx="0">
                  <c:v>SERVICES</c:v>
                </c:pt>
              </c:strCache>
            </c:strRef>
          </c:tx>
          <c:invertIfNegative val="0"/>
          <c:cat>
            <c:strLit>
              <c:ptCount val="1"/>
              <c:pt idx="0">
                <c:v>Very Low</c:v>
              </c:pt>
            </c:strLit>
          </c:cat>
          <c:val>
            <c:numRef>
              <c:f>'Income el formulae'!$I$10:$M$10</c:f>
              <c:numCache>
                <c:formatCode>0.00</c:formatCode>
                <c:ptCount val="5"/>
                <c:pt idx="0">
                  <c:v>1.0285500000000001</c:v>
                </c:pt>
                <c:pt idx="1">
                  <c:v>1.39045</c:v>
                </c:pt>
                <c:pt idx="2">
                  <c:v>1.7523500000000001</c:v>
                </c:pt>
                <c:pt idx="3">
                  <c:v>2.5795500000000002</c:v>
                </c:pt>
                <c:pt idx="4">
                  <c:v>4.0271499999999998</c:v>
                </c:pt>
              </c:numCache>
            </c:numRef>
          </c:val>
        </c:ser>
        <c:ser>
          <c:idx val="2"/>
          <c:order val="2"/>
          <c:tx>
            <c:strRef>
              <c:f>'Income el formulae'!$H$11</c:f>
              <c:strCache>
                <c:ptCount val="1"/>
                <c:pt idx="0">
                  <c:v>GOODS</c:v>
                </c:pt>
              </c:strCache>
            </c:strRef>
          </c:tx>
          <c:invertIfNegative val="0"/>
          <c:cat>
            <c:strLit>
              <c:ptCount val="1"/>
              <c:pt idx="0">
                <c:v>Very Low</c:v>
              </c:pt>
            </c:strLit>
          </c:cat>
          <c:val>
            <c:numRef>
              <c:f>'Income el formulae'!$I$11:$M$11</c:f>
              <c:numCache>
                <c:formatCode>0.00</c:formatCode>
                <c:ptCount val="5"/>
                <c:pt idx="0">
                  <c:v>1.32921</c:v>
                </c:pt>
                <c:pt idx="1">
                  <c:v>2.06582</c:v>
                </c:pt>
                <c:pt idx="2">
                  <c:v>2.7338299999999998</c:v>
                </c:pt>
                <c:pt idx="3">
                  <c:v>4.0031099999999995</c:v>
                </c:pt>
                <c:pt idx="4">
                  <c:v>5.3619499999999993</c:v>
                </c:pt>
              </c:numCache>
            </c:numRef>
          </c:val>
        </c:ser>
        <c:ser>
          <c:idx val="3"/>
          <c:order val="3"/>
          <c:tx>
            <c:strRef>
              <c:f>'Income el formulae'!$H$12</c:f>
              <c:strCache>
                <c:ptCount val="1"/>
                <c:pt idx="0">
                  <c:v>FOOD</c:v>
                </c:pt>
              </c:strCache>
            </c:strRef>
          </c:tx>
          <c:invertIfNegative val="0"/>
          <c:cat>
            <c:strLit>
              <c:ptCount val="1"/>
              <c:pt idx="0">
                <c:v>Very Low</c:v>
              </c:pt>
            </c:strLit>
          </c:cat>
          <c:val>
            <c:numRef>
              <c:f>'Income el formulae'!$I$12:$M$12</c:f>
              <c:numCache>
                <c:formatCode>0.00</c:formatCode>
                <c:ptCount val="5"/>
                <c:pt idx="0">
                  <c:v>2.2438829999999998</c:v>
                </c:pt>
                <c:pt idx="1">
                  <c:v>2.6003020000000001</c:v>
                </c:pt>
                <c:pt idx="2">
                  <c:v>2.9157570000000002</c:v>
                </c:pt>
                <c:pt idx="3">
                  <c:v>3.4829729999999994</c:v>
                </c:pt>
                <c:pt idx="4">
                  <c:v>3.9606249999999994</c:v>
                </c:pt>
              </c:numCache>
            </c:numRef>
          </c:val>
        </c:ser>
        <c:ser>
          <c:idx val="4"/>
          <c:order val="4"/>
          <c:tx>
            <c:strRef>
              <c:f>'Income el formulae'!$H$13</c:f>
              <c:strCache>
                <c:ptCount val="1"/>
                <c:pt idx="0">
                  <c:v>TRAVEL</c:v>
                </c:pt>
              </c:strCache>
            </c:strRef>
          </c:tx>
          <c:invertIfNegative val="0"/>
          <c:cat>
            <c:strLit>
              <c:ptCount val="1"/>
              <c:pt idx="0">
                <c:v>Very Low</c:v>
              </c:pt>
            </c:strLit>
          </c:cat>
          <c:val>
            <c:numRef>
              <c:f>'Income el formulae'!$I$13:$M$13</c:f>
              <c:numCache>
                <c:formatCode>0.00</c:formatCode>
                <c:ptCount val="5"/>
                <c:pt idx="0">
                  <c:v>1.5111000000000001</c:v>
                </c:pt>
                <c:pt idx="1">
                  <c:v>2.4918</c:v>
                </c:pt>
                <c:pt idx="2">
                  <c:v>3.3940999999999999</c:v>
                </c:pt>
                <c:pt idx="3">
                  <c:v>5.1621000000000006</c:v>
                </c:pt>
                <c:pt idx="4">
                  <c:v>7.2705000000000002</c:v>
                </c:pt>
              </c:numCache>
            </c:numRef>
          </c:val>
        </c:ser>
        <c:ser>
          <c:idx val="5"/>
          <c:order val="5"/>
          <c:tx>
            <c:strRef>
              <c:f>'Income el formulae'!$H$14</c:f>
              <c:strCache>
                <c:ptCount val="1"/>
                <c:pt idx="0">
                  <c:v>HE</c:v>
                </c:pt>
              </c:strCache>
            </c:strRef>
          </c:tx>
          <c:invertIfNegative val="0"/>
          <c:cat>
            <c:strLit>
              <c:ptCount val="1"/>
              <c:pt idx="0">
                <c:v>Very Low</c:v>
              </c:pt>
            </c:strLit>
          </c:cat>
          <c:val>
            <c:numRef>
              <c:f>'Income el formulae'!$I$14:$M$14</c:f>
              <c:numCache>
                <c:formatCode>0.00</c:formatCode>
                <c:ptCount val="5"/>
                <c:pt idx="0">
                  <c:v>2.37</c:v>
                </c:pt>
                <c:pt idx="1">
                  <c:v>2.37</c:v>
                </c:pt>
                <c:pt idx="2">
                  <c:v>2.2576000000000001</c:v>
                </c:pt>
                <c:pt idx="3">
                  <c:v>2.6623999999999999</c:v>
                </c:pt>
                <c:pt idx="4">
                  <c:v>3.3708</c:v>
                </c:pt>
              </c:numCache>
            </c:numRef>
          </c:val>
        </c:ser>
        <c:dLbls>
          <c:showLegendKey val="0"/>
          <c:showVal val="0"/>
          <c:showCatName val="0"/>
          <c:showSerName val="0"/>
          <c:showPercent val="0"/>
          <c:showBubbleSize val="0"/>
        </c:dLbls>
        <c:gapWidth val="150"/>
        <c:overlap val="100"/>
        <c:axId val="95587712"/>
        <c:axId val="95606272"/>
      </c:barChart>
      <c:catAx>
        <c:axId val="9558771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Sample income levels, Decile 1, Decile 5, Decile 9, Decile 10</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606272"/>
        <c:crosses val="autoZero"/>
        <c:auto val="1"/>
        <c:lblAlgn val="ctr"/>
        <c:lblOffset val="100"/>
        <c:noMultiLvlLbl val="0"/>
      </c:catAx>
      <c:valAx>
        <c:axId val="956062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587712"/>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Calibri"/>
                <a:ea typeface="Calibri"/>
                <a:cs typeface="Calibri"/>
              </a:defRPr>
            </a:pPr>
            <a:r>
              <a:rPr lang="en-GB"/>
              <a:t>Room number derived from bedr No. via 1+bedr*1.7</a:t>
            </a:r>
          </a:p>
        </c:rich>
      </c:tx>
      <c:overlay val="0"/>
    </c:title>
    <c:autoTitleDeleted val="0"/>
    <c:plotArea>
      <c:layout/>
      <c:scatterChart>
        <c:scatterStyle val="lineMarker"/>
        <c:varyColors val="0"/>
        <c:ser>
          <c:idx val="0"/>
          <c:order val="0"/>
          <c:spPr>
            <a:ln w="28575">
              <a:noFill/>
            </a:ln>
          </c:spPr>
          <c:trendline>
            <c:trendlineType val="poly"/>
            <c:order val="2"/>
            <c:dispRSqr val="0"/>
            <c:dispEq val="0"/>
          </c:trendline>
          <c:trendline>
            <c:trendlineType val="poly"/>
            <c:order val="2"/>
            <c:dispRSqr val="0"/>
            <c:dispEq val="1"/>
            <c:trendlineLbl>
              <c:layout>
                <c:manualLayout>
                  <c:x val="6.2088355460421813E-3"/>
                  <c:y val="5.7531994547193273E-2"/>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'Dwelling size'!$A$33:$H$33</c:f>
              <c:numCache>
                <c:formatCode>General</c:formatCode>
                <c:ptCount val="8"/>
                <c:pt idx="0">
                  <c:v>2.6</c:v>
                </c:pt>
                <c:pt idx="1">
                  <c:v>4.2</c:v>
                </c:pt>
                <c:pt idx="2">
                  <c:v>5.8000000000000007</c:v>
                </c:pt>
                <c:pt idx="3">
                  <c:v>2.6</c:v>
                </c:pt>
                <c:pt idx="4">
                  <c:v>4.2</c:v>
                </c:pt>
                <c:pt idx="5">
                  <c:v>5.8000000000000007</c:v>
                </c:pt>
                <c:pt idx="6">
                  <c:v>7.4</c:v>
                </c:pt>
                <c:pt idx="7">
                  <c:v>9</c:v>
                </c:pt>
              </c:numCache>
            </c:numRef>
          </c:xVal>
          <c:yVal>
            <c:numRef>
              <c:f>'Dwelling size'!$A$34:$H$34</c:f>
              <c:numCache>
                <c:formatCode>General</c:formatCode>
                <c:ptCount val="8"/>
                <c:pt idx="0">
                  <c:v>46</c:v>
                </c:pt>
                <c:pt idx="1">
                  <c:v>59</c:v>
                </c:pt>
                <c:pt idx="2">
                  <c:v>89</c:v>
                </c:pt>
                <c:pt idx="3">
                  <c:v>69</c:v>
                </c:pt>
                <c:pt idx="4">
                  <c:v>69</c:v>
                </c:pt>
                <c:pt idx="5">
                  <c:v>92</c:v>
                </c:pt>
                <c:pt idx="6">
                  <c:v>117</c:v>
                </c:pt>
                <c:pt idx="7">
                  <c:v>159</c:v>
                </c:pt>
              </c:numCache>
            </c:numRef>
          </c:yVal>
          <c:smooth val="0"/>
        </c:ser>
        <c:dLbls>
          <c:showLegendKey val="0"/>
          <c:showVal val="0"/>
          <c:showCatName val="0"/>
          <c:showSerName val="0"/>
          <c:showPercent val="0"/>
          <c:showBubbleSize val="0"/>
        </c:dLbls>
        <c:axId val="55749632"/>
        <c:axId val="55760000"/>
      </c:scatterChart>
      <c:valAx>
        <c:axId val="5574963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Total room number </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760000"/>
        <c:crosses val="autoZero"/>
        <c:crossBetween val="midCat"/>
      </c:valAx>
      <c:valAx>
        <c:axId val="557600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Internal floor area, m2</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74963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'Your Elephant'!$P$24</c:f>
              <c:strCache>
                <c:ptCount val="1"/>
                <c:pt idx="0">
                  <c:v>Public services</c:v>
                </c:pt>
              </c:strCache>
            </c:strRef>
          </c:tx>
          <c:spPr>
            <a:solidFill>
              <a:schemeClr val="tx1"/>
            </a:solidFill>
          </c:spPr>
          <c:invertIfNegative val="0"/>
          <c:val>
            <c:numRef>
              <c:f>'Your Elephant'!$Q$24:$R$24</c:f>
              <c:numCache>
                <c:formatCode>General</c:formatCode>
                <c:ptCount val="2"/>
                <c:pt idx="0" formatCode="0.00">
                  <c:v>2.6223939165600409</c:v>
                </c:pt>
                <c:pt idx="1">
                  <c:v>2.63</c:v>
                </c:pt>
              </c:numCache>
            </c:numRef>
          </c:val>
        </c:ser>
        <c:ser>
          <c:idx val="1"/>
          <c:order val="1"/>
          <c:tx>
            <c:strRef>
              <c:f>'Your Elephant'!$E$2</c:f>
              <c:strCache>
                <c:ptCount val="1"/>
                <c:pt idx="0">
                  <c:v>the average UK carbon footprint…</c:v>
                </c:pt>
              </c:strCache>
            </c:strRef>
          </c:tx>
          <c:spPr>
            <a:solidFill>
              <a:schemeClr val="accent1">
                <a:lumMod val="75000"/>
              </a:schemeClr>
            </a:solidFill>
          </c:spPr>
          <c:invertIfNegative val="0"/>
          <c:val>
            <c:numRef>
              <c:f>'Your Elephant'!$M$4:$N$4</c:f>
              <c:numCache>
                <c:formatCode>General</c:formatCode>
                <c:ptCount val="2"/>
              </c:numCache>
            </c:numRef>
          </c:val>
        </c:ser>
        <c:ser>
          <c:idx val="2"/>
          <c:order val="2"/>
          <c:tx>
            <c:strRef>
              <c:f>'Your Elephant'!#REF!</c:f>
              <c:strCache>
                <c:ptCount val="1"/>
                <c:pt idx="0">
                  <c:v>#REF!</c:v>
                </c:pt>
              </c:strCache>
            </c:strRef>
          </c:tx>
          <c:spPr>
            <a:solidFill>
              <a:srgbClr val="009900"/>
            </a:solidFill>
          </c:spPr>
          <c:invertIfNegative val="0"/>
          <c:val>
            <c:numRef>
              <c:f>'Your Elephant'!$M$5:$N$5</c:f>
              <c:numCache>
                <c:formatCode>General</c:formatCode>
                <c:ptCount val="2"/>
              </c:numCache>
            </c:numRef>
          </c:val>
        </c:ser>
        <c:ser>
          <c:idx val="3"/>
          <c:order val="3"/>
          <c:tx>
            <c:strRef>
              <c:f>'Your Elephant'!#REF!</c:f>
              <c:strCache>
                <c:ptCount val="1"/>
                <c:pt idx="0">
                  <c:v>#REF!</c:v>
                </c:pt>
              </c:strCache>
            </c:strRef>
          </c:tx>
          <c:spPr>
            <a:solidFill>
              <a:srgbClr val="FFFF00"/>
            </a:solidFill>
          </c:spPr>
          <c:invertIfNegative val="0"/>
          <c:val>
            <c:numRef>
              <c:f>'Your Elephant'!$M$6:$N$6</c:f>
              <c:numCache>
                <c:formatCode>General</c:formatCode>
                <c:ptCount val="2"/>
              </c:numCache>
            </c:numRef>
          </c:val>
        </c:ser>
        <c:ser>
          <c:idx val="4"/>
          <c:order val="4"/>
          <c:tx>
            <c:strRef>
              <c:f>ELEPHANT!#REF!</c:f>
              <c:strCache>
                <c:ptCount val="1"/>
                <c:pt idx="0">
                  <c:v>#REF!</c:v>
                </c:pt>
              </c:strCache>
            </c:strRef>
          </c:tx>
          <c:spPr>
            <a:solidFill>
              <a:srgbClr val="FF0000"/>
            </a:solidFill>
          </c:spPr>
          <c:invertIfNegative val="0"/>
          <c:val>
            <c:numRef>
              <c:f>'Your Elephant'!$M$7:$N$7</c:f>
              <c:numCache>
                <c:formatCode>General</c:formatCode>
                <c:ptCount val="2"/>
              </c:numCache>
            </c:numRef>
          </c:val>
        </c:ser>
        <c:dLbls>
          <c:showLegendKey val="0"/>
          <c:showVal val="0"/>
          <c:showCatName val="0"/>
          <c:showSerName val="0"/>
          <c:showPercent val="0"/>
          <c:showBubbleSize val="0"/>
        </c:dLbls>
        <c:gapWidth val="150"/>
        <c:overlap val="100"/>
        <c:axId val="89815296"/>
        <c:axId val="89829760"/>
      </c:barChart>
      <c:catAx>
        <c:axId val="8981529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1:variants, 2: average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9829760"/>
        <c:crosses val="autoZero"/>
        <c:auto val="1"/>
        <c:lblAlgn val="ctr"/>
        <c:lblOffset val="100"/>
        <c:noMultiLvlLbl val="0"/>
      </c:catAx>
      <c:valAx>
        <c:axId val="8982976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9815296"/>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rendline>
            <c:trendlineType val="log"/>
            <c:dispRSqr val="0"/>
            <c:dispEq val="0"/>
          </c:trendline>
          <c:trendline>
            <c:trendlineType val="log"/>
            <c:dispRSqr val="0"/>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trendline>
            <c:trendlineType val="log"/>
            <c:dispRSqr val="0"/>
            <c:dispEq val="0"/>
          </c:trendline>
          <c:trendline>
            <c:trendlineType val="log"/>
            <c:dispRSqr val="0"/>
            <c:dispEq val="0"/>
          </c:trendline>
          <c:trendline>
            <c:trendlineType val="log"/>
            <c:dispRSqr val="0"/>
            <c:dispEq val="1"/>
            <c:trendlineLbl>
              <c:layout>
                <c:manualLayout>
                  <c:x val="-0.33174098363052817"/>
                  <c:y val="8.2272528433945721E-3"/>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trendline>
            <c:trendlineType val="power"/>
            <c:dispRSqr val="0"/>
            <c:dispEq val="0"/>
          </c:trendline>
          <c:trendline>
            <c:trendlineType val="power"/>
            <c:dispRSqr val="0"/>
            <c:dispEq val="0"/>
          </c:trendline>
          <c:trendline>
            <c:trendlineType val="poly"/>
            <c:order val="2"/>
            <c:dispRSqr val="0"/>
            <c:dispEq val="1"/>
            <c:trendlineLbl>
              <c:layout>
                <c:manualLayout>
                  <c:x val="-6.6764342479474159E-2"/>
                  <c:y val="0.60142163736382315"/>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trendline>
            <c:trendlineType val="power"/>
            <c:dispRSqr val="0"/>
            <c:dispEq val="0"/>
          </c:trendline>
          <c:trendline>
            <c:trendlineType val="power"/>
            <c:dispRSqr val="0"/>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trendline>
            <c:trendlineType val="exp"/>
            <c:dispRSqr val="0"/>
            <c:dispEq val="1"/>
            <c:trendlineLbl>
              <c:layout>
                <c:manualLayout>
                  <c:x val="-0.23517645252560701"/>
                  <c:y val="4.248373062956173E-3"/>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'Occupancy formulae'!$E$37:$L$37</c:f>
              <c:numCache>
                <c:formatCode>General</c:formatCode>
                <c:ptCount val="8"/>
                <c:pt idx="0">
                  <c:v>1.4</c:v>
                </c:pt>
                <c:pt idx="1">
                  <c:v>0.4</c:v>
                </c:pt>
                <c:pt idx="2">
                  <c:v>-0.6</c:v>
                </c:pt>
                <c:pt idx="3">
                  <c:v>-1.6</c:v>
                </c:pt>
                <c:pt idx="4">
                  <c:v>-2.6</c:v>
                </c:pt>
                <c:pt idx="5">
                  <c:v>-3.6</c:v>
                </c:pt>
                <c:pt idx="6">
                  <c:v>-4.5999999999999996</c:v>
                </c:pt>
                <c:pt idx="7">
                  <c:v>-5.6</c:v>
                </c:pt>
              </c:numCache>
            </c:numRef>
          </c:xVal>
          <c:yVal>
            <c:numRef>
              <c:f>'Occupancy formulae'!$E$36:$L$36</c:f>
              <c:numCache>
                <c:formatCode>General</c:formatCode>
                <c:ptCount val="8"/>
                <c:pt idx="0">
                  <c:v>17.95962635155443</c:v>
                </c:pt>
                <c:pt idx="1">
                  <c:v>15.748983660188747</c:v>
                </c:pt>
                <c:pt idx="2">
                  <c:v>13.995656577632209</c:v>
                </c:pt>
                <c:pt idx="3">
                  <c:v>12.585394026556608</c:v>
                </c:pt>
                <c:pt idx="4">
                  <c:v>11.435214151308527</c:v>
                </c:pt>
                <c:pt idx="5">
                  <c:v>10.484477242183916</c:v>
                </c:pt>
                <c:pt idx="6">
                  <c:v>9.6885557712081756</c:v>
                </c:pt>
                <c:pt idx="7">
                  <c:v>9.0143396638769904</c:v>
                </c:pt>
              </c:numCache>
            </c:numRef>
          </c:yVal>
          <c:smooth val="1"/>
        </c:ser>
        <c:dLbls>
          <c:showLegendKey val="0"/>
          <c:showVal val="0"/>
          <c:showCatName val="0"/>
          <c:showSerName val="0"/>
          <c:showPercent val="0"/>
          <c:showBubbleSize val="0"/>
        </c:dLbls>
        <c:axId val="55601408"/>
        <c:axId val="55611392"/>
      </c:scatterChart>
      <c:valAx>
        <c:axId val="556014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611392"/>
        <c:crosses val="autoZero"/>
        <c:crossBetween val="midCat"/>
      </c:valAx>
      <c:valAx>
        <c:axId val="5561139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601408"/>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he</a:t>
            </a:r>
          </a:p>
        </c:rich>
      </c:tx>
      <c:overlay val="1"/>
    </c:title>
    <c:autoTitleDeleted val="0"/>
    <c:plotArea>
      <c:layout/>
      <c:scatterChart>
        <c:scatterStyle val="lineMarker"/>
        <c:varyColors val="0"/>
        <c:ser>
          <c:idx val="0"/>
          <c:order val="0"/>
          <c:spPr>
            <a:ln w="28575">
              <a:noFill/>
            </a:ln>
          </c:spPr>
          <c:trendline>
            <c:trendlineType val="linear"/>
            <c:dispRSqr val="0"/>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AMENDMENT!$F$18:$L$18</c:f>
              <c:numCache>
                <c:formatCode>General</c:formatCode>
                <c:ptCount val="7"/>
                <c:pt idx="0">
                  <c:v>15.67</c:v>
                </c:pt>
                <c:pt idx="1">
                  <c:v>18.170000000000002</c:v>
                </c:pt>
                <c:pt idx="2">
                  <c:v>21.2</c:v>
                </c:pt>
                <c:pt idx="3">
                  <c:v>24.83</c:v>
                </c:pt>
                <c:pt idx="4">
                  <c:v>29.47</c:v>
                </c:pt>
                <c:pt idx="5">
                  <c:v>36.54</c:v>
                </c:pt>
                <c:pt idx="6">
                  <c:v>63.67</c:v>
                </c:pt>
              </c:numCache>
            </c:numRef>
          </c:xVal>
          <c:yVal>
            <c:numRef>
              <c:f>AMENDMENT!$F$19:$L$19</c:f>
              <c:numCache>
                <c:formatCode>0.00</c:formatCode>
                <c:ptCount val="7"/>
                <c:pt idx="0">
                  <c:v>2.1225660377358495</c:v>
                </c:pt>
                <c:pt idx="1">
                  <c:v>2.1702641509433964</c:v>
                </c:pt>
                <c:pt idx="2">
                  <c:v>2.2775849056603774</c:v>
                </c:pt>
                <c:pt idx="3">
                  <c:v>2.3550943396226414</c:v>
                </c:pt>
                <c:pt idx="4">
                  <c:v>2.4624150943396224</c:v>
                </c:pt>
                <c:pt idx="5">
                  <c:v>2.6710943396226416</c:v>
                </c:pt>
                <c:pt idx="6">
                  <c:v>3.3329056603773584</c:v>
                </c:pt>
              </c:numCache>
            </c:numRef>
          </c:yVal>
          <c:smooth val="0"/>
        </c:ser>
        <c:dLbls>
          <c:showLegendKey val="0"/>
          <c:showVal val="0"/>
          <c:showCatName val="0"/>
          <c:showSerName val="0"/>
          <c:showPercent val="0"/>
          <c:showBubbleSize val="0"/>
        </c:dLbls>
        <c:axId val="39973632"/>
        <c:axId val="39975168"/>
      </c:scatterChart>
      <c:valAx>
        <c:axId val="399736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975168"/>
        <c:crosses val="autoZero"/>
        <c:crossBetween val="midCat"/>
      </c:valAx>
      <c:valAx>
        <c:axId val="3997516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97363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GB"/>
              <a:t>TRAVEL</a:t>
            </a:r>
          </a:p>
        </c:rich>
      </c:tx>
      <c:layout>
        <c:manualLayout>
          <c:xMode val="edge"/>
          <c:yMode val="edge"/>
          <c:x val="0.68047225930668698"/>
          <c:y val="4.629637511527275E-2"/>
        </c:manualLayout>
      </c:layout>
      <c:overlay val="1"/>
    </c:title>
    <c:autoTitleDeleted val="0"/>
    <c:plotArea>
      <c:layout/>
      <c:scatterChart>
        <c:scatterStyle val="lineMarker"/>
        <c:varyColors val="0"/>
        <c:ser>
          <c:idx val="0"/>
          <c:order val="0"/>
          <c:spPr>
            <a:ln w="28575">
              <a:noFill/>
            </a:ln>
          </c:spPr>
          <c:trendline>
            <c:trendlineType val="poly"/>
            <c:order val="2"/>
            <c:dispRSqr val="0"/>
            <c:dispEq val="0"/>
          </c:trendline>
          <c:trendline>
            <c:trendlineType val="poly"/>
            <c:order val="2"/>
            <c:dispRSqr val="0"/>
            <c:dispEq val="1"/>
            <c:trendlineLbl>
              <c:layout>
                <c:manualLayout>
                  <c:x val="1.5353674540682422E-2"/>
                  <c:y val="-1.4410177894429866E-3"/>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AMENDMENT!$C$20:$L$20</c:f>
              <c:numCache>
                <c:formatCode>General</c:formatCode>
                <c:ptCount val="10"/>
                <c:pt idx="0">
                  <c:v>7.03</c:v>
                </c:pt>
                <c:pt idx="1">
                  <c:v>11.17</c:v>
                </c:pt>
                <c:pt idx="2">
                  <c:v>13.46</c:v>
                </c:pt>
                <c:pt idx="3">
                  <c:v>15.67</c:v>
                </c:pt>
                <c:pt idx="4">
                  <c:v>18.170000000000002</c:v>
                </c:pt>
                <c:pt idx="5">
                  <c:v>21.2</c:v>
                </c:pt>
                <c:pt idx="6">
                  <c:v>24.83</c:v>
                </c:pt>
                <c:pt idx="7">
                  <c:v>29.47</c:v>
                </c:pt>
                <c:pt idx="8">
                  <c:v>36.54</c:v>
                </c:pt>
                <c:pt idx="9">
                  <c:v>63.67</c:v>
                </c:pt>
              </c:numCache>
            </c:numRef>
          </c:xVal>
          <c:yVal>
            <c:numRef>
              <c:f>AMENDMENT!$C$21:$L$21</c:f>
              <c:numCache>
                <c:formatCode>0.00</c:formatCode>
                <c:ptCount val="10"/>
                <c:pt idx="0">
                  <c:v>1.6537885462555066</c:v>
                </c:pt>
                <c:pt idx="1">
                  <c:v>1.6920264317180616</c:v>
                </c:pt>
                <c:pt idx="2">
                  <c:v>2.6479735682819383</c:v>
                </c:pt>
                <c:pt idx="3">
                  <c:v>2.9156387665198236</c:v>
                </c:pt>
                <c:pt idx="4">
                  <c:v>2.8965198237885463</c:v>
                </c:pt>
                <c:pt idx="5">
                  <c:v>3.4892070484581499</c:v>
                </c:pt>
                <c:pt idx="6">
                  <c:v>3.7186343612334802</c:v>
                </c:pt>
                <c:pt idx="7">
                  <c:v>4.6650220264317177</c:v>
                </c:pt>
                <c:pt idx="8">
                  <c:v>5.0760792951541847</c:v>
                </c:pt>
                <c:pt idx="9">
                  <c:v>7.3894713656387667</c:v>
                </c:pt>
              </c:numCache>
            </c:numRef>
          </c:yVal>
          <c:smooth val="0"/>
        </c:ser>
        <c:dLbls>
          <c:showLegendKey val="0"/>
          <c:showVal val="0"/>
          <c:showCatName val="0"/>
          <c:showSerName val="0"/>
          <c:showPercent val="0"/>
          <c:showBubbleSize val="0"/>
        </c:dLbls>
        <c:axId val="43535744"/>
        <c:axId val="43549824"/>
      </c:scatterChart>
      <c:valAx>
        <c:axId val="435357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549824"/>
        <c:crosses val="autoZero"/>
        <c:crossBetween val="midCat"/>
      </c:valAx>
      <c:valAx>
        <c:axId val="4354982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535744"/>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GB"/>
              <a:t>FOOD</a:t>
            </a:r>
          </a:p>
        </c:rich>
      </c:tx>
      <c:overlay val="1"/>
    </c:title>
    <c:autoTitleDeleted val="0"/>
    <c:plotArea>
      <c:layout/>
      <c:scatterChart>
        <c:scatterStyle val="lineMarker"/>
        <c:varyColors val="0"/>
        <c:ser>
          <c:idx val="0"/>
          <c:order val="0"/>
          <c:spPr>
            <a:ln w="28575">
              <a:noFill/>
            </a:ln>
          </c:spPr>
          <c:trendline>
            <c:trendlineType val="poly"/>
            <c:order val="2"/>
            <c:dispRSqr val="0"/>
            <c:dispEq val="1"/>
            <c:trendlineLbl>
              <c:numFmt formatCode="#,##0.000000"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AMENDMENT!$C$22:$L$22</c:f>
              <c:numCache>
                <c:formatCode>General</c:formatCode>
                <c:ptCount val="10"/>
                <c:pt idx="0">
                  <c:v>7.03</c:v>
                </c:pt>
                <c:pt idx="1">
                  <c:v>11.17</c:v>
                </c:pt>
                <c:pt idx="2">
                  <c:v>13.46</c:v>
                </c:pt>
                <c:pt idx="3">
                  <c:v>15.67</c:v>
                </c:pt>
                <c:pt idx="4">
                  <c:v>18.170000000000002</c:v>
                </c:pt>
                <c:pt idx="5">
                  <c:v>21.2</c:v>
                </c:pt>
                <c:pt idx="6">
                  <c:v>24.83</c:v>
                </c:pt>
                <c:pt idx="7">
                  <c:v>29.47</c:v>
                </c:pt>
                <c:pt idx="8">
                  <c:v>36.54</c:v>
                </c:pt>
                <c:pt idx="9">
                  <c:v>63.67</c:v>
                </c:pt>
              </c:numCache>
            </c:numRef>
          </c:xVal>
          <c:yVal>
            <c:numRef>
              <c:f>AMENDMENT!$C$23:$L$23</c:f>
              <c:numCache>
                <c:formatCode>0.00</c:formatCode>
                <c:ptCount val="10"/>
                <c:pt idx="0">
                  <c:v>2.1760000000000002</c:v>
                </c:pt>
                <c:pt idx="1">
                  <c:v>2.5742222222222222</c:v>
                </c:pt>
                <c:pt idx="2">
                  <c:v>2.7448888888888887</c:v>
                </c:pt>
                <c:pt idx="3">
                  <c:v>2.5315555555555558</c:v>
                </c:pt>
                <c:pt idx="4">
                  <c:v>2.7875555555555556</c:v>
                </c:pt>
                <c:pt idx="5">
                  <c:v>2.8017777777777777</c:v>
                </c:pt>
                <c:pt idx="6">
                  <c:v>3.0862222222222222</c:v>
                </c:pt>
                <c:pt idx="7">
                  <c:v>3.2142222222222219</c:v>
                </c:pt>
                <c:pt idx="8">
                  <c:v>3.5555555555555554</c:v>
                </c:pt>
                <c:pt idx="9">
                  <c:v>3.9395555555555557</c:v>
                </c:pt>
              </c:numCache>
            </c:numRef>
          </c:yVal>
          <c:smooth val="0"/>
        </c:ser>
        <c:dLbls>
          <c:showLegendKey val="0"/>
          <c:showVal val="0"/>
          <c:showCatName val="0"/>
          <c:showSerName val="0"/>
          <c:showPercent val="0"/>
          <c:showBubbleSize val="0"/>
        </c:dLbls>
        <c:axId val="43578880"/>
        <c:axId val="43580416"/>
      </c:scatterChart>
      <c:valAx>
        <c:axId val="435788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580416"/>
        <c:crosses val="autoZero"/>
        <c:crossBetween val="midCat"/>
      </c:valAx>
      <c:valAx>
        <c:axId val="4358041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578880"/>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GB"/>
              <a:t>GOODS</a:t>
            </a:r>
          </a:p>
        </c:rich>
      </c:tx>
      <c:layout>
        <c:manualLayout>
          <c:xMode val="edge"/>
          <c:yMode val="edge"/>
          <c:x val="0.6721875588336268"/>
          <c:y val="0.44444465030106528"/>
        </c:manualLayout>
      </c:layout>
      <c:overlay val="1"/>
    </c:title>
    <c:autoTitleDeleted val="0"/>
    <c:plotArea>
      <c:layout/>
      <c:scatterChart>
        <c:scatterStyle val="lineMarker"/>
        <c:varyColors val="0"/>
        <c:ser>
          <c:idx val="0"/>
          <c:order val="0"/>
          <c:spPr>
            <a:ln w="28575">
              <a:noFill/>
            </a:ln>
          </c:spPr>
          <c:trendline>
            <c:trendlineType val="poly"/>
            <c:order val="2"/>
            <c:dispRSqr val="0"/>
            <c:dispEq val="1"/>
            <c:trendlineLbl>
              <c:numFmt formatCode="#,##0.000000"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AMENDMENT!$C$24:$L$24</c:f>
              <c:numCache>
                <c:formatCode>General</c:formatCode>
                <c:ptCount val="10"/>
                <c:pt idx="0">
                  <c:v>7.03</c:v>
                </c:pt>
                <c:pt idx="1">
                  <c:v>11.17</c:v>
                </c:pt>
                <c:pt idx="2">
                  <c:v>13.46</c:v>
                </c:pt>
                <c:pt idx="3">
                  <c:v>15.67</c:v>
                </c:pt>
                <c:pt idx="4">
                  <c:v>18.170000000000002</c:v>
                </c:pt>
                <c:pt idx="5">
                  <c:v>21.2</c:v>
                </c:pt>
                <c:pt idx="6">
                  <c:v>24.83</c:v>
                </c:pt>
                <c:pt idx="7">
                  <c:v>29.47</c:v>
                </c:pt>
                <c:pt idx="8">
                  <c:v>36.54</c:v>
                </c:pt>
                <c:pt idx="9">
                  <c:v>63.67</c:v>
                </c:pt>
              </c:numCache>
            </c:numRef>
          </c:xVal>
          <c:yVal>
            <c:numRef>
              <c:f>AMENDMENT!$C$25:$L$25</c:f>
              <c:numCache>
                <c:formatCode>0.00</c:formatCode>
                <c:ptCount val="10"/>
                <c:pt idx="0">
                  <c:v>1.3938053097345133</c:v>
                </c:pt>
                <c:pt idx="1">
                  <c:v>1.7035398230088494</c:v>
                </c:pt>
                <c:pt idx="2">
                  <c:v>2.13716814159292</c:v>
                </c:pt>
                <c:pt idx="3">
                  <c:v>2.0907079646017701</c:v>
                </c:pt>
                <c:pt idx="4">
                  <c:v>2.5862831858407076</c:v>
                </c:pt>
                <c:pt idx="5">
                  <c:v>2.6172566371681412</c:v>
                </c:pt>
                <c:pt idx="6">
                  <c:v>3.0973451327433628</c:v>
                </c:pt>
                <c:pt idx="7">
                  <c:v>3.2986725663716809</c:v>
                </c:pt>
                <c:pt idx="8">
                  <c:v>4.1504424778761058</c:v>
                </c:pt>
                <c:pt idx="9">
                  <c:v>5.2809734513274336</c:v>
                </c:pt>
              </c:numCache>
            </c:numRef>
          </c:yVal>
          <c:smooth val="0"/>
        </c:ser>
        <c:dLbls>
          <c:showLegendKey val="0"/>
          <c:showVal val="0"/>
          <c:showCatName val="0"/>
          <c:showSerName val="0"/>
          <c:showPercent val="0"/>
          <c:showBubbleSize val="0"/>
        </c:dLbls>
        <c:axId val="55917952"/>
        <c:axId val="55940224"/>
      </c:scatterChart>
      <c:valAx>
        <c:axId val="559179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940224"/>
        <c:crosses val="autoZero"/>
        <c:crossBetween val="midCat"/>
      </c:valAx>
      <c:valAx>
        <c:axId val="5594022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91795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Calibri"/>
                <a:ea typeface="Calibri"/>
                <a:cs typeface="Calibri"/>
              </a:defRPr>
            </a:pPr>
            <a:r>
              <a:rPr lang="en-GB"/>
              <a:t>PRIVATE SERVICES</a:t>
            </a:r>
          </a:p>
        </c:rich>
      </c:tx>
      <c:overlay val="1"/>
    </c:title>
    <c:autoTitleDeleted val="0"/>
    <c:plotArea>
      <c:layout/>
      <c:scatterChart>
        <c:scatterStyle val="smoothMarker"/>
        <c:varyColors val="0"/>
        <c:ser>
          <c:idx val="0"/>
          <c:order val="0"/>
          <c:trendline>
            <c:trendlineType val="linear"/>
            <c:dispRSqr val="0"/>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AMENDMENT!$C$26:$L$26</c:f>
              <c:numCache>
                <c:formatCode>General</c:formatCode>
                <c:ptCount val="10"/>
                <c:pt idx="0">
                  <c:v>7.03</c:v>
                </c:pt>
                <c:pt idx="1">
                  <c:v>11.17</c:v>
                </c:pt>
                <c:pt idx="2">
                  <c:v>13.46</c:v>
                </c:pt>
                <c:pt idx="3">
                  <c:v>15.67</c:v>
                </c:pt>
                <c:pt idx="4">
                  <c:v>18.170000000000002</c:v>
                </c:pt>
                <c:pt idx="5">
                  <c:v>21.2</c:v>
                </c:pt>
                <c:pt idx="6">
                  <c:v>24.83</c:v>
                </c:pt>
                <c:pt idx="7">
                  <c:v>29.47</c:v>
                </c:pt>
                <c:pt idx="8">
                  <c:v>36.54</c:v>
                </c:pt>
                <c:pt idx="9">
                  <c:v>63.67</c:v>
                </c:pt>
              </c:numCache>
            </c:numRef>
          </c:xVal>
          <c:yVal>
            <c:numRef>
              <c:f>AMENDMENT!$C$27:$L$27</c:f>
              <c:numCache>
                <c:formatCode>0.00</c:formatCode>
                <c:ptCount val="10"/>
                <c:pt idx="0">
                  <c:v>1.0816831683168318</c:v>
                </c:pt>
                <c:pt idx="1">
                  <c:v>1.1955445544554457</c:v>
                </c:pt>
                <c:pt idx="2">
                  <c:v>1.3435643564356434</c:v>
                </c:pt>
                <c:pt idx="3">
                  <c:v>1.389108910891089</c:v>
                </c:pt>
                <c:pt idx="4">
                  <c:v>1.5826732673267325</c:v>
                </c:pt>
                <c:pt idx="5">
                  <c:v>1.7420792079207921</c:v>
                </c:pt>
                <c:pt idx="6">
                  <c:v>2.0608910891089112</c:v>
                </c:pt>
                <c:pt idx="7">
                  <c:v>2.2316831683168319</c:v>
                </c:pt>
                <c:pt idx="8">
                  <c:v>2.5960396039603957</c:v>
                </c:pt>
                <c:pt idx="9">
                  <c:v>3.9168316831683172</c:v>
                </c:pt>
              </c:numCache>
            </c:numRef>
          </c:yVal>
          <c:smooth val="1"/>
        </c:ser>
        <c:dLbls>
          <c:showLegendKey val="0"/>
          <c:showVal val="0"/>
          <c:showCatName val="0"/>
          <c:showSerName val="0"/>
          <c:showPercent val="0"/>
          <c:showBubbleSize val="0"/>
        </c:dLbls>
        <c:axId val="95946240"/>
        <c:axId val="95947776"/>
      </c:scatterChart>
      <c:valAx>
        <c:axId val="959462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947776"/>
        <c:crosses val="autoZero"/>
        <c:crossBetween val="midCat"/>
      </c:valAx>
      <c:valAx>
        <c:axId val="9594777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946240"/>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GB"/>
              <a:t>public services</a:t>
            </a:r>
          </a:p>
        </c:rich>
      </c:tx>
      <c:layout>
        <c:manualLayout>
          <c:xMode val="edge"/>
          <c:yMode val="edge"/>
          <c:x val="0.27229843561973527"/>
          <c:y val="0.56305017755133568"/>
        </c:manualLayout>
      </c:layout>
      <c:overlay val="1"/>
    </c:title>
    <c:autoTitleDeleted val="0"/>
    <c:plotArea>
      <c:layout/>
      <c:scatterChart>
        <c:scatterStyle val="lineMarker"/>
        <c:varyColors val="0"/>
        <c:ser>
          <c:idx val="0"/>
          <c:order val="0"/>
          <c:spPr>
            <a:ln w="28575">
              <a:noFill/>
            </a:ln>
          </c:spPr>
          <c:trendline>
            <c:trendlineType val="power"/>
            <c:dispRSqr val="0"/>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AMENDMENT!$D$28:$L$28</c:f>
              <c:numCache>
                <c:formatCode>General</c:formatCode>
                <c:ptCount val="9"/>
                <c:pt idx="0">
                  <c:v>11.17</c:v>
                </c:pt>
                <c:pt idx="1">
                  <c:v>13.46</c:v>
                </c:pt>
                <c:pt idx="2">
                  <c:v>15.67</c:v>
                </c:pt>
                <c:pt idx="3">
                  <c:v>18.170000000000002</c:v>
                </c:pt>
                <c:pt idx="4">
                  <c:v>21.2</c:v>
                </c:pt>
                <c:pt idx="5">
                  <c:v>24.83</c:v>
                </c:pt>
                <c:pt idx="6">
                  <c:v>29.47</c:v>
                </c:pt>
                <c:pt idx="7">
                  <c:v>36.54</c:v>
                </c:pt>
                <c:pt idx="8">
                  <c:v>63.67</c:v>
                </c:pt>
              </c:numCache>
            </c:numRef>
          </c:xVal>
          <c:yVal>
            <c:numRef>
              <c:f>AMENDMENT!$D$29:$L$29</c:f>
              <c:numCache>
                <c:formatCode>0.00</c:formatCode>
                <c:ptCount val="9"/>
                <c:pt idx="0">
                  <c:v>2.6080162601626018</c:v>
                </c:pt>
                <c:pt idx="1">
                  <c:v>2.4008373983739837</c:v>
                </c:pt>
                <c:pt idx="2">
                  <c:v>2.2302195121951218</c:v>
                </c:pt>
                <c:pt idx="3">
                  <c:v>2.0717886178861784</c:v>
                </c:pt>
                <c:pt idx="4">
                  <c:v>2.1327235772357724</c:v>
                </c:pt>
                <c:pt idx="5">
                  <c:v>2.0352276422764222</c:v>
                </c:pt>
                <c:pt idx="6">
                  <c:v>1.9986666666666666</c:v>
                </c:pt>
                <c:pt idx="7">
                  <c:v>1.9255447154471543</c:v>
                </c:pt>
                <c:pt idx="8">
                  <c:v>1.8524227642276421</c:v>
                </c:pt>
              </c:numCache>
            </c:numRef>
          </c:yVal>
          <c:smooth val="0"/>
        </c:ser>
        <c:dLbls>
          <c:showLegendKey val="0"/>
          <c:showVal val="0"/>
          <c:showCatName val="0"/>
          <c:showSerName val="0"/>
          <c:showPercent val="0"/>
          <c:showBubbleSize val="0"/>
        </c:dLbls>
        <c:axId val="95985024"/>
        <c:axId val="95986816"/>
      </c:scatterChart>
      <c:valAx>
        <c:axId val="959850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986816"/>
        <c:crosses val="autoZero"/>
        <c:crossBetween val="midCat"/>
      </c:valAx>
      <c:valAx>
        <c:axId val="9598681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985024"/>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732687922206478"/>
          <c:y val="0.1742835697450387"/>
          <c:w val="0.43575061314057068"/>
          <c:h val="0.72074121882305742"/>
        </c:manualLayout>
      </c:layout>
      <c:barChart>
        <c:barDir val="col"/>
        <c:grouping val="stacked"/>
        <c:varyColors val="0"/>
        <c:ser>
          <c:idx val="6"/>
          <c:order val="0"/>
          <c:tx>
            <c:strRef>
              <c:f>'Your Elephant'!$B$12</c:f>
              <c:strCache>
                <c:ptCount val="1"/>
                <c:pt idx="0">
                  <c:v>NE</c:v>
                </c:pt>
              </c:strCache>
            </c:strRef>
          </c:tx>
          <c:invertIfNegative val="0"/>
          <c:cat>
            <c:strRef>
              <c:f>'Your Elephant'!$D$5:$E$5</c:f>
              <c:strCache>
                <c:ptCount val="2"/>
                <c:pt idx="0">
                  <c:v>YOUR CHOICES</c:v>
                </c:pt>
                <c:pt idx="1">
                  <c:v>AVERAGE</c:v>
                </c:pt>
              </c:strCache>
            </c:strRef>
          </c:cat>
          <c:val>
            <c:numRef>
              <c:f>'Your Elephant'!$D$12:$E$12</c:f>
              <c:numCache>
                <c:formatCode>0.0</c:formatCode>
                <c:ptCount val="2"/>
                <c:pt idx="0">
                  <c:v>0</c:v>
                </c:pt>
                <c:pt idx="1">
                  <c:v>0</c:v>
                </c:pt>
              </c:numCache>
            </c:numRef>
          </c:val>
        </c:ser>
        <c:ser>
          <c:idx val="5"/>
          <c:order val="1"/>
          <c:tx>
            <c:strRef>
              <c:f>'Your Elephant'!$B$11</c:f>
              <c:strCache>
                <c:ptCount val="1"/>
                <c:pt idx="0">
                  <c:v>PS</c:v>
                </c:pt>
              </c:strCache>
            </c:strRef>
          </c:tx>
          <c:spPr>
            <a:gradFill flip="none" rotWithShape="1">
              <a:gsLst>
                <a:gs pos="0">
                  <a:schemeClr val="tx1">
                    <a:lumMod val="85000"/>
                    <a:lumOff val="15000"/>
                    <a:tint val="66000"/>
                    <a:satMod val="160000"/>
                  </a:schemeClr>
                </a:gs>
                <a:gs pos="50000">
                  <a:schemeClr val="tx1">
                    <a:lumMod val="85000"/>
                    <a:lumOff val="15000"/>
                    <a:tint val="44500"/>
                    <a:satMod val="160000"/>
                  </a:schemeClr>
                </a:gs>
                <a:gs pos="100000">
                  <a:schemeClr val="tx1">
                    <a:lumMod val="85000"/>
                    <a:lumOff val="15000"/>
                    <a:tint val="23500"/>
                    <a:satMod val="160000"/>
                  </a:schemeClr>
                </a:gs>
              </a:gsLst>
              <a:lin ang="0" scaled="1"/>
              <a:tileRect/>
            </a:gradFill>
          </c:spPr>
          <c:invertIfNegative val="0"/>
          <c:cat>
            <c:strRef>
              <c:f>'Your Elephant'!$D$5:$E$5</c:f>
              <c:strCache>
                <c:ptCount val="2"/>
                <c:pt idx="0">
                  <c:v>YOUR CHOICES</c:v>
                </c:pt>
                <c:pt idx="1">
                  <c:v>AVERAGE</c:v>
                </c:pt>
              </c:strCache>
            </c:strRef>
          </c:cat>
          <c:val>
            <c:numRef>
              <c:f>'Your Elephant'!$D$11:$E$11</c:f>
              <c:numCache>
                <c:formatCode>0.0</c:formatCode>
                <c:ptCount val="2"/>
                <c:pt idx="0">
                  <c:v>2.6304347826086958</c:v>
                </c:pt>
                <c:pt idx="1">
                  <c:v>2.6304347826086958</c:v>
                </c:pt>
              </c:numCache>
            </c:numRef>
          </c:val>
        </c:ser>
        <c:ser>
          <c:idx val="4"/>
          <c:order val="2"/>
          <c:tx>
            <c:strRef>
              <c:f>'Your Elephant'!$B$10</c:f>
              <c:strCache>
                <c:ptCount val="1"/>
                <c:pt idx="0">
                  <c:v>G&amp;S</c:v>
                </c:pt>
              </c:strCache>
            </c:strRef>
          </c:tx>
          <c:spPr>
            <a:gradFill flip="none" rotWithShape="1">
              <a:gsLst>
                <a:gs pos="0">
                  <a:schemeClr val="accent5">
                    <a:shade val="30000"/>
                    <a:satMod val="115000"/>
                    <a:lumMod val="80000"/>
                  </a:schemeClr>
                </a:gs>
                <a:gs pos="50000">
                  <a:schemeClr val="accent5">
                    <a:lumMod val="75000"/>
                    <a:shade val="67500"/>
                    <a:satMod val="115000"/>
                  </a:schemeClr>
                </a:gs>
                <a:gs pos="100000">
                  <a:schemeClr val="accent5">
                    <a:lumMod val="75000"/>
                    <a:shade val="100000"/>
                    <a:satMod val="115000"/>
                  </a:schemeClr>
                </a:gs>
              </a:gsLst>
              <a:lin ang="0" scaled="1"/>
              <a:tileRect/>
            </a:gradFill>
          </c:spPr>
          <c:invertIfNegative val="0"/>
          <c:cat>
            <c:strRef>
              <c:f>'Your Elephant'!$D$5:$E$5</c:f>
              <c:strCache>
                <c:ptCount val="2"/>
                <c:pt idx="0">
                  <c:v>YOUR CHOICES</c:v>
                </c:pt>
                <c:pt idx="1">
                  <c:v>AVERAGE</c:v>
                </c:pt>
              </c:strCache>
            </c:strRef>
          </c:cat>
          <c:val>
            <c:numRef>
              <c:f>'Your Elephant'!$D$10:$E$10</c:f>
              <c:numCache>
                <c:formatCode>0.0</c:formatCode>
                <c:ptCount val="2"/>
                <c:pt idx="0">
                  <c:v>4.3250000000000002</c:v>
                </c:pt>
                <c:pt idx="1">
                  <c:v>4.34</c:v>
                </c:pt>
              </c:numCache>
            </c:numRef>
          </c:val>
        </c:ser>
        <c:ser>
          <c:idx val="3"/>
          <c:order val="3"/>
          <c:tx>
            <c:strRef>
              <c:f>'Your Elephant'!$B$9</c:f>
              <c:strCache>
                <c:ptCount val="1"/>
                <c:pt idx="0">
                  <c:v>F</c:v>
                </c:pt>
              </c:strCache>
            </c:strRef>
          </c:tx>
          <c:spPr>
            <a:gradFill flip="none" rotWithShape="1">
              <a:gsLst>
                <a:gs pos="0">
                  <a:srgbClr val="00B050">
                    <a:shade val="30000"/>
                    <a:satMod val="115000"/>
                    <a:lumMod val="95000"/>
                    <a:lumOff val="5000"/>
                  </a:srgbClr>
                </a:gs>
                <a:gs pos="50000">
                  <a:srgbClr val="00B050">
                    <a:shade val="67500"/>
                    <a:satMod val="115000"/>
                  </a:srgbClr>
                </a:gs>
                <a:gs pos="100000">
                  <a:srgbClr val="00B05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Elephant'!$D$9:$E$9</c:f>
              <c:numCache>
                <c:formatCode>0.0</c:formatCode>
                <c:ptCount val="2"/>
                <c:pt idx="0">
                  <c:v>0.4596159999999998</c:v>
                </c:pt>
                <c:pt idx="1">
                  <c:v>3.05</c:v>
                </c:pt>
              </c:numCache>
            </c:numRef>
          </c:val>
        </c:ser>
        <c:ser>
          <c:idx val="2"/>
          <c:order val="4"/>
          <c:tx>
            <c:strRef>
              <c:f>'Your Elephant'!$B$8</c:f>
              <c:strCache>
                <c:ptCount val="1"/>
                <c:pt idx="0">
                  <c:v>FLY</c:v>
                </c:pt>
              </c:strCache>
            </c:strRef>
          </c:tx>
          <c:spPr>
            <a:gradFill flip="none" rotWithShape="1">
              <a:gsLst>
                <a:gs pos="0">
                  <a:srgbClr val="FFFF00">
                    <a:shade val="30000"/>
                    <a:satMod val="115000"/>
                    <a:lumMod val="90000"/>
                    <a:lumOff val="10000"/>
                  </a:srgbClr>
                </a:gs>
                <a:gs pos="50000">
                  <a:srgbClr val="FFFF00">
                    <a:shade val="67500"/>
                    <a:satMod val="115000"/>
                  </a:srgbClr>
                </a:gs>
                <a:gs pos="100000">
                  <a:srgbClr val="FFFF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Elephant'!$D$8:$E$8</c:f>
              <c:numCache>
                <c:formatCode>0.0</c:formatCode>
                <c:ptCount val="2"/>
                <c:pt idx="0">
                  <c:v>0.79799999999999993</c:v>
                </c:pt>
                <c:pt idx="1">
                  <c:v>0.78</c:v>
                </c:pt>
              </c:numCache>
            </c:numRef>
          </c:val>
        </c:ser>
        <c:ser>
          <c:idx val="1"/>
          <c:order val="5"/>
          <c:tx>
            <c:strRef>
              <c:f>'Your Elephant'!$B$7</c:f>
              <c:strCache>
                <c:ptCount val="1"/>
                <c:pt idx="0">
                  <c:v>TRA</c:v>
                </c:pt>
              </c:strCache>
            </c:strRef>
          </c:tx>
          <c:spPr>
            <a:gradFill flip="none" rotWithShape="1">
              <a:gsLst>
                <a:gs pos="0">
                  <a:srgbClr val="FFC000">
                    <a:shade val="30000"/>
                    <a:satMod val="115000"/>
                    <a:lumMod val="95000"/>
                    <a:lumOff val="5000"/>
                  </a:srgbClr>
                </a:gs>
                <a:gs pos="50000">
                  <a:srgbClr val="FFC000">
                    <a:shade val="67500"/>
                    <a:satMod val="115000"/>
                  </a:srgbClr>
                </a:gs>
                <a:gs pos="100000">
                  <a:srgbClr val="FFC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Elephant'!$D$7:$E$7</c:f>
              <c:numCache>
                <c:formatCode>0.0</c:formatCode>
                <c:ptCount val="2"/>
                <c:pt idx="0">
                  <c:v>2.4538434782608691</c:v>
                </c:pt>
                <c:pt idx="1">
                  <c:v>2.59</c:v>
                </c:pt>
              </c:numCache>
            </c:numRef>
          </c:val>
        </c:ser>
        <c:ser>
          <c:idx val="0"/>
          <c:order val="6"/>
          <c:tx>
            <c:strRef>
              <c:f>'Your Elephant'!$B$6</c:f>
              <c:strCache>
                <c:ptCount val="1"/>
                <c:pt idx="0">
                  <c:v>HE</c:v>
                </c:pt>
              </c:strCache>
            </c:strRef>
          </c:tx>
          <c:spPr>
            <a:gradFill flip="none" rotWithShape="1">
              <a:gsLst>
                <a:gs pos="0">
                  <a:srgbClr val="CC0000">
                    <a:shade val="30000"/>
                    <a:satMod val="115000"/>
                    <a:lumMod val="95000"/>
                    <a:lumOff val="5000"/>
                  </a:srgbClr>
                </a:gs>
                <a:gs pos="50000">
                  <a:srgbClr val="CC0000">
                    <a:shade val="67500"/>
                    <a:satMod val="115000"/>
                  </a:srgbClr>
                </a:gs>
                <a:gs pos="100000">
                  <a:srgbClr val="CC0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Elephant'!$D$6:$E$6</c:f>
              <c:numCache>
                <c:formatCode>0.0</c:formatCode>
                <c:ptCount val="2"/>
                <c:pt idx="0">
                  <c:v>2.4424325217391307</c:v>
                </c:pt>
                <c:pt idx="1">
                  <c:v>2.4700000000000002</c:v>
                </c:pt>
              </c:numCache>
            </c:numRef>
          </c:val>
        </c:ser>
        <c:dLbls>
          <c:showLegendKey val="0"/>
          <c:showVal val="0"/>
          <c:showCatName val="0"/>
          <c:showSerName val="0"/>
          <c:showPercent val="0"/>
          <c:showBubbleSize val="0"/>
        </c:dLbls>
        <c:gapWidth val="70"/>
        <c:overlap val="100"/>
        <c:axId val="90203264"/>
        <c:axId val="90204800"/>
      </c:barChart>
      <c:catAx>
        <c:axId val="90203264"/>
        <c:scaling>
          <c:orientation val="minMax"/>
        </c:scaling>
        <c:delete val="0"/>
        <c:axPos val="b"/>
        <c:numFmt formatCode="General" sourceLinked="0"/>
        <c:majorTickMark val="out"/>
        <c:minorTickMark val="none"/>
        <c:tickLblPos val="nextTo"/>
        <c:crossAx val="90204800"/>
        <c:crosses val="autoZero"/>
        <c:auto val="1"/>
        <c:lblAlgn val="ctr"/>
        <c:lblOffset val="100"/>
        <c:noMultiLvlLbl val="0"/>
      </c:catAx>
      <c:valAx>
        <c:axId val="90204800"/>
        <c:scaling>
          <c:orientation val="minMax"/>
        </c:scaling>
        <c:delete val="0"/>
        <c:axPos val="l"/>
        <c:title>
          <c:tx>
            <c:rich>
              <a:bodyPr rot="-5400000" vert="horz"/>
              <a:lstStyle/>
              <a:p>
                <a:pPr>
                  <a:defRPr b="0"/>
                </a:pPr>
                <a:r>
                  <a:rPr lang="en-US" b="0"/>
                  <a:t>PERSONAL CARBON FOOTPRINT, TONNES CO2E PER YEAR</a:t>
                </a:r>
              </a:p>
            </c:rich>
          </c:tx>
          <c:layout>
            <c:manualLayout>
              <c:xMode val="edge"/>
              <c:yMode val="edge"/>
              <c:x val="0.2667124478292674"/>
              <c:y val="0.28468048993875794"/>
            </c:manualLayout>
          </c:layout>
          <c:overlay val="0"/>
        </c:title>
        <c:numFmt formatCode="0" sourceLinked="0"/>
        <c:majorTickMark val="out"/>
        <c:minorTickMark val="none"/>
        <c:tickLblPos val="nextTo"/>
        <c:crossAx val="90203264"/>
        <c:crosses val="autoZero"/>
        <c:crossBetween val="between"/>
      </c:valAx>
      <c:spPr>
        <a:noFill/>
      </c:spPr>
    </c:plotArea>
    <c:legend>
      <c:legendPos val="r"/>
      <c:layout>
        <c:manualLayout>
          <c:xMode val="edge"/>
          <c:yMode val="edge"/>
          <c:x val="5.0923454240351121E-2"/>
          <c:y val="0.40054173228346457"/>
          <c:w val="0.16322189234542409"/>
          <c:h val="0.30015485564304473"/>
        </c:manualLayout>
      </c:layout>
      <c:overlay val="0"/>
      <c:txPr>
        <a:bodyPr/>
        <a:lstStyle/>
        <a:p>
          <a:pPr>
            <a:defRPr sz="1100">
              <a:latin typeface="Calibri Light" panose="020F0302020204030204" pitchFamily="34" charset="0"/>
            </a:defRPr>
          </a:pPr>
          <a:endParaRPr lang="en-U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732687922206478"/>
          <c:y val="0.1742835697450387"/>
          <c:w val="0.43575061314057068"/>
          <c:h val="0.72074121882305742"/>
        </c:manualLayout>
      </c:layout>
      <c:barChart>
        <c:barDir val="col"/>
        <c:grouping val="stacked"/>
        <c:varyColors val="0"/>
        <c:ser>
          <c:idx val="6"/>
          <c:order val="0"/>
          <c:tx>
            <c:strRef>
              <c:f>'Your Elephant'!$B$12</c:f>
              <c:strCache>
                <c:ptCount val="1"/>
                <c:pt idx="0">
                  <c:v>NE</c:v>
                </c:pt>
              </c:strCache>
            </c:strRef>
          </c:tx>
          <c:invertIfNegative val="0"/>
          <c:cat>
            <c:strRef>
              <c:f>'Your Elephant'!$D$5:$E$5</c:f>
              <c:strCache>
                <c:ptCount val="2"/>
                <c:pt idx="0">
                  <c:v>YOUR CHOICES</c:v>
                </c:pt>
                <c:pt idx="1">
                  <c:v>AVERAGE</c:v>
                </c:pt>
              </c:strCache>
            </c:strRef>
          </c:cat>
          <c:val>
            <c:numRef>
              <c:f>'Your Elephant'!$D$12:$E$12</c:f>
              <c:numCache>
                <c:formatCode>0.0</c:formatCode>
                <c:ptCount val="2"/>
                <c:pt idx="0">
                  <c:v>0</c:v>
                </c:pt>
                <c:pt idx="1">
                  <c:v>0</c:v>
                </c:pt>
              </c:numCache>
            </c:numRef>
          </c:val>
        </c:ser>
        <c:ser>
          <c:idx val="5"/>
          <c:order val="1"/>
          <c:tx>
            <c:strRef>
              <c:f>'Your Elephant'!$B$11</c:f>
              <c:strCache>
                <c:ptCount val="1"/>
                <c:pt idx="0">
                  <c:v>PS</c:v>
                </c:pt>
              </c:strCache>
            </c:strRef>
          </c:tx>
          <c:spPr>
            <a:gradFill flip="none" rotWithShape="1">
              <a:gsLst>
                <a:gs pos="0">
                  <a:schemeClr val="tx1">
                    <a:lumMod val="85000"/>
                    <a:lumOff val="15000"/>
                    <a:tint val="66000"/>
                    <a:satMod val="160000"/>
                  </a:schemeClr>
                </a:gs>
                <a:gs pos="50000">
                  <a:schemeClr val="tx1">
                    <a:lumMod val="85000"/>
                    <a:lumOff val="15000"/>
                    <a:tint val="44500"/>
                    <a:satMod val="160000"/>
                  </a:schemeClr>
                </a:gs>
                <a:gs pos="100000">
                  <a:schemeClr val="tx1">
                    <a:lumMod val="85000"/>
                    <a:lumOff val="15000"/>
                    <a:tint val="23500"/>
                    <a:satMod val="160000"/>
                  </a:schemeClr>
                </a:gs>
              </a:gsLst>
              <a:lin ang="0" scaled="1"/>
              <a:tileRect/>
            </a:gradFill>
          </c:spPr>
          <c:invertIfNegative val="0"/>
          <c:cat>
            <c:strRef>
              <c:f>'Your Elephant'!$D$5:$E$5</c:f>
              <c:strCache>
                <c:ptCount val="2"/>
                <c:pt idx="0">
                  <c:v>YOUR CHOICES</c:v>
                </c:pt>
                <c:pt idx="1">
                  <c:v>AVERAGE</c:v>
                </c:pt>
              </c:strCache>
            </c:strRef>
          </c:cat>
          <c:val>
            <c:numRef>
              <c:f>'Your Elephant'!$D$11:$E$11</c:f>
              <c:numCache>
                <c:formatCode>0.0</c:formatCode>
                <c:ptCount val="2"/>
                <c:pt idx="0">
                  <c:v>2.6304347826086958</c:v>
                </c:pt>
                <c:pt idx="1">
                  <c:v>2.6304347826086958</c:v>
                </c:pt>
              </c:numCache>
            </c:numRef>
          </c:val>
        </c:ser>
        <c:ser>
          <c:idx val="4"/>
          <c:order val="2"/>
          <c:tx>
            <c:strRef>
              <c:f>'Your Elephant'!$B$10</c:f>
              <c:strCache>
                <c:ptCount val="1"/>
                <c:pt idx="0">
                  <c:v>G&amp;S</c:v>
                </c:pt>
              </c:strCache>
            </c:strRef>
          </c:tx>
          <c:spPr>
            <a:gradFill flip="none" rotWithShape="1">
              <a:gsLst>
                <a:gs pos="0">
                  <a:schemeClr val="accent5">
                    <a:shade val="30000"/>
                    <a:satMod val="115000"/>
                    <a:lumMod val="80000"/>
                  </a:schemeClr>
                </a:gs>
                <a:gs pos="50000">
                  <a:schemeClr val="accent5">
                    <a:lumMod val="75000"/>
                    <a:shade val="67500"/>
                    <a:satMod val="115000"/>
                  </a:schemeClr>
                </a:gs>
                <a:gs pos="100000">
                  <a:schemeClr val="accent5">
                    <a:lumMod val="75000"/>
                    <a:shade val="100000"/>
                    <a:satMod val="115000"/>
                  </a:schemeClr>
                </a:gs>
              </a:gsLst>
              <a:lin ang="0" scaled="1"/>
              <a:tileRect/>
            </a:gradFill>
          </c:spPr>
          <c:invertIfNegative val="0"/>
          <c:cat>
            <c:strRef>
              <c:f>'Your Elephant'!$D$5:$E$5</c:f>
              <c:strCache>
                <c:ptCount val="2"/>
                <c:pt idx="0">
                  <c:v>YOUR CHOICES</c:v>
                </c:pt>
                <c:pt idx="1">
                  <c:v>AVERAGE</c:v>
                </c:pt>
              </c:strCache>
            </c:strRef>
          </c:cat>
          <c:val>
            <c:numRef>
              <c:f>'Your Elephant'!$D$10:$E$10</c:f>
              <c:numCache>
                <c:formatCode>0.0</c:formatCode>
                <c:ptCount val="2"/>
                <c:pt idx="0">
                  <c:v>4.3250000000000002</c:v>
                </c:pt>
                <c:pt idx="1">
                  <c:v>4.34</c:v>
                </c:pt>
              </c:numCache>
            </c:numRef>
          </c:val>
        </c:ser>
        <c:ser>
          <c:idx val="3"/>
          <c:order val="3"/>
          <c:tx>
            <c:strRef>
              <c:f>'Your Elephant'!$B$9</c:f>
              <c:strCache>
                <c:ptCount val="1"/>
                <c:pt idx="0">
                  <c:v>F</c:v>
                </c:pt>
              </c:strCache>
            </c:strRef>
          </c:tx>
          <c:spPr>
            <a:gradFill flip="none" rotWithShape="1">
              <a:gsLst>
                <a:gs pos="0">
                  <a:srgbClr val="00B050">
                    <a:shade val="30000"/>
                    <a:satMod val="115000"/>
                    <a:lumMod val="95000"/>
                    <a:lumOff val="5000"/>
                  </a:srgbClr>
                </a:gs>
                <a:gs pos="50000">
                  <a:srgbClr val="00B050">
                    <a:shade val="67500"/>
                    <a:satMod val="115000"/>
                  </a:srgbClr>
                </a:gs>
                <a:gs pos="100000">
                  <a:srgbClr val="00B05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Elephant'!$D$9:$E$9</c:f>
              <c:numCache>
                <c:formatCode>0.0</c:formatCode>
                <c:ptCount val="2"/>
                <c:pt idx="0">
                  <c:v>0.4596159999999998</c:v>
                </c:pt>
                <c:pt idx="1">
                  <c:v>3.05</c:v>
                </c:pt>
              </c:numCache>
            </c:numRef>
          </c:val>
        </c:ser>
        <c:ser>
          <c:idx val="2"/>
          <c:order val="4"/>
          <c:tx>
            <c:strRef>
              <c:f>'Your Elephant'!$B$8</c:f>
              <c:strCache>
                <c:ptCount val="1"/>
                <c:pt idx="0">
                  <c:v>FLY</c:v>
                </c:pt>
              </c:strCache>
            </c:strRef>
          </c:tx>
          <c:spPr>
            <a:gradFill flip="none" rotWithShape="1">
              <a:gsLst>
                <a:gs pos="0">
                  <a:srgbClr val="FFFF00">
                    <a:shade val="30000"/>
                    <a:satMod val="115000"/>
                    <a:lumMod val="90000"/>
                    <a:lumOff val="10000"/>
                  </a:srgbClr>
                </a:gs>
                <a:gs pos="50000">
                  <a:srgbClr val="FFFF00">
                    <a:shade val="67500"/>
                    <a:satMod val="115000"/>
                  </a:srgbClr>
                </a:gs>
                <a:gs pos="100000">
                  <a:srgbClr val="FFFF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Elephant'!$D$8:$E$8</c:f>
              <c:numCache>
                <c:formatCode>0.0</c:formatCode>
                <c:ptCount val="2"/>
                <c:pt idx="0">
                  <c:v>0.79799999999999993</c:v>
                </c:pt>
                <c:pt idx="1">
                  <c:v>0.78</c:v>
                </c:pt>
              </c:numCache>
            </c:numRef>
          </c:val>
        </c:ser>
        <c:ser>
          <c:idx val="1"/>
          <c:order val="5"/>
          <c:tx>
            <c:strRef>
              <c:f>'Your Elephant'!$B$7</c:f>
              <c:strCache>
                <c:ptCount val="1"/>
                <c:pt idx="0">
                  <c:v>TRA</c:v>
                </c:pt>
              </c:strCache>
            </c:strRef>
          </c:tx>
          <c:spPr>
            <a:gradFill flip="none" rotWithShape="1">
              <a:gsLst>
                <a:gs pos="0">
                  <a:srgbClr val="FFC000">
                    <a:shade val="30000"/>
                    <a:satMod val="115000"/>
                    <a:lumMod val="95000"/>
                    <a:lumOff val="5000"/>
                  </a:srgbClr>
                </a:gs>
                <a:gs pos="50000">
                  <a:srgbClr val="FFC000">
                    <a:shade val="67500"/>
                    <a:satMod val="115000"/>
                  </a:srgbClr>
                </a:gs>
                <a:gs pos="100000">
                  <a:srgbClr val="FFC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Elephant'!$D$7:$E$7</c:f>
              <c:numCache>
                <c:formatCode>0.0</c:formatCode>
                <c:ptCount val="2"/>
                <c:pt idx="0">
                  <c:v>2.4538434782608691</c:v>
                </c:pt>
                <c:pt idx="1">
                  <c:v>2.59</c:v>
                </c:pt>
              </c:numCache>
            </c:numRef>
          </c:val>
        </c:ser>
        <c:ser>
          <c:idx val="0"/>
          <c:order val="6"/>
          <c:tx>
            <c:strRef>
              <c:f>'Your Elephant'!$B$6</c:f>
              <c:strCache>
                <c:ptCount val="1"/>
                <c:pt idx="0">
                  <c:v>HE</c:v>
                </c:pt>
              </c:strCache>
            </c:strRef>
          </c:tx>
          <c:spPr>
            <a:gradFill flip="none" rotWithShape="1">
              <a:gsLst>
                <a:gs pos="0">
                  <a:srgbClr val="CC0000">
                    <a:shade val="30000"/>
                    <a:satMod val="115000"/>
                    <a:lumMod val="95000"/>
                    <a:lumOff val="5000"/>
                  </a:srgbClr>
                </a:gs>
                <a:gs pos="50000">
                  <a:srgbClr val="CC0000">
                    <a:shade val="67500"/>
                    <a:satMod val="115000"/>
                  </a:srgbClr>
                </a:gs>
                <a:gs pos="100000">
                  <a:srgbClr val="CC0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Elephant'!$D$6:$E$6</c:f>
              <c:numCache>
                <c:formatCode>0.0</c:formatCode>
                <c:ptCount val="2"/>
                <c:pt idx="0">
                  <c:v>2.4424325217391307</c:v>
                </c:pt>
                <c:pt idx="1">
                  <c:v>2.4700000000000002</c:v>
                </c:pt>
              </c:numCache>
            </c:numRef>
          </c:val>
        </c:ser>
        <c:dLbls>
          <c:showLegendKey val="0"/>
          <c:showVal val="0"/>
          <c:showCatName val="0"/>
          <c:showSerName val="0"/>
          <c:showPercent val="0"/>
          <c:showBubbleSize val="0"/>
        </c:dLbls>
        <c:gapWidth val="70"/>
        <c:overlap val="100"/>
        <c:axId val="89899392"/>
        <c:axId val="89900928"/>
      </c:barChart>
      <c:catAx>
        <c:axId val="89899392"/>
        <c:scaling>
          <c:orientation val="minMax"/>
        </c:scaling>
        <c:delete val="0"/>
        <c:axPos val="b"/>
        <c:numFmt formatCode="General" sourceLinked="0"/>
        <c:majorTickMark val="out"/>
        <c:minorTickMark val="none"/>
        <c:tickLblPos val="nextTo"/>
        <c:crossAx val="89900928"/>
        <c:crosses val="autoZero"/>
        <c:auto val="1"/>
        <c:lblAlgn val="ctr"/>
        <c:lblOffset val="100"/>
        <c:noMultiLvlLbl val="0"/>
      </c:catAx>
      <c:valAx>
        <c:axId val="89900928"/>
        <c:scaling>
          <c:orientation val="minMax"/>
        </c:scaling>
        <c:delete val="0"/>
        <c:axPos val="l"/>
        <c:title>
          <c:tx>
            <c:rich>
              <a:bodyPr rot="-5400000" vert="horz"/>
              <a:lstStyle/>
              <a:p>
                <a:pPr>
                  <a:defRPr b="0"/>
                </a:pPr>
                <a:r>
                  <a:rPr lang="en-US" b="0"/>
                  <a:t>PERSONAL CARBON FOOTPRINT, TONNES CO2E PER YEAR</a:t>
                </a:r>
              </a:p>
            </c:rich>
          </c:tx>
          <c:layout>
            <c:manualLayout>
              <c:xMode val="edge"/>
              <c:yMode val="edge"/>
              <c:x val="0.2667124478292674"/>
              <c:y val="0.28468048993875794"/>
            </c:manualLayout>
          </c:layout>
          <c:overlay val="0"/>
        </c:title>
        <c:numFmt formatCode="0" sourceLinked="0"/>
        <c:majorTickMark val="out"/>
        <c:minorTickMark val="none"/>
        <c:tickLblPos val="nextTo"/>
        <c:crossAx val="89899392"/>
        <c:crosses val="autoZero"/>
        <c:crossBetween val="between"/>
      </c:valAx>
      <c:spPr>
        <a:noFill/>
      </c:spPr>
    </c:plotArea>
    <c:legend>
      <c:legendPos val="r"/>
      <c:layout>
        <c:manualLayout>
          <c:xMode val="edge"/>
          <c:yMode val="edge"/>
          <c:x val="5.0923454240351121E-2"/>
          <c:y val="0.40054173228346457"/>
          <c:w val="0.16322189234542409"/>
          <c:h val="0.30015485564304473"/>
        </c:manualLayout>
      </c:layout>
      <c:overlay val="0"/>
      <c:txPr>
        <a:bodyPr/>
        <a:lstStyle/>
        <a:p>
          <a:pPr>
            <a:defRPr sz="1100">
              <a:latin typeface="Calibri Light" panose="020F0302020204030204" pitchFamily="34" charset="0"/>
            </a:defRPr>
          </a:pPr>
          <a:endParaRPr lang="en-U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732687922206478"/>
          <c:y val="0.1742835697450387"/>
          <c:w val="0.43575061314057068"/>
          <c:h val="0.72074121882305742"/>
        </c:manualLayout>
      </c:layout>
      <c:barChart>
        <c:barDir val="col"/>
        <c:grouping val="stacked"/>
        <c:varyColors val="0"/>
        <c:ser>
          <c:idx val="6"/>
          <c:order val="0"/>
          <c:tx>
            <c:strRef>
              <c:f>'Your Elephant'!$B$12</c:f>
              <c:strCache>
                <c:ptCount val="1"/>
                <c:pt idx="0">
                  <c:v>NE</c:v>
                </c:pt>
              </c:strCache>
            </c:strRef>
          </c:tx>
          <c:invertIfNegative val="0"/>
          <c:cat>
            <c:strRef>
              <c:f>'Your Elephant'!$D$5:$E$5</c:f>
              <c:strCache>
                <c:ptCount val="2"/>
                <c:pt idx="0">
                  <c:v>YOUR CHOICES</c:v>
                </c:pt>
                <c:pt idx="1">
                  <c:v>AVERAGE</c:v>
                </c:pt>
              </c:strCache>
            </c:strRef>
          </c:cat>
          <c:val>
            <c:numRef>
              <c:f>'Your Elephant'!$D$12:$E$12</c:f>
              <c:numCache>
                <c:formatCode>0.0</c:formatCode>
                <c:ptCount val="2"/>
                <c:pt idx="0">
                  <c:v>0</c:v>
                </c:pt>
                <c:pt idx="1">
                  <c:v>0</c:v>
                </c:pt>
              </c:numCache>
            </c:numRef>
          </c:val>
        </c:ser>
        <c:ser>
          <c:idx val="5"/>
          <c:order val="1"/>
          <c:tx>
            <c:strRef>
              <c:f>'Your Elephant'!$B$11</c:f>
              <c:strCache>
                <c:ptCount val="1"/>
                <c:pt idx="0">
                  <c:v>PS</c:v>
                </c:pt>
              </c:strCache>
            </c:strRef>
          </c:tx>
          <c:spPr>
            <a:gradFill flip="none" rotWithShape="1">
              <a:gsLst>
                <a:gs pos="0">
                  <a:schemeClr val="tx1">
                    <a:lumMod val="85000"/>
                    <a:lumOff val="15000"/>
                    <a:tint val="66000"/>
                    <a:satMod val="160000"/>
                  </a:schemeClr>
                </a:gs>
                <a:gs pos="50000">
                  <a:schemeClr val="tx1">
                    <a:lumMod val="85000"/>
                    <a:lumOff val="15000"/>
                    <a:tint val="44500"/>
                    <a:satMod val="160000"/>
                  </a:schemeClr>
                </a:gs>
                <a:gs pos="100000">
                  <a:schemeClr val="tx1">
                    <a:lumMod val="85000"/>
                    <a:lumOff val="15000"/>
                    <a:tint val="23500"/>
                    <a:satMod val="160000"/>
                  </a:schemeClr>
                </a:gs>
              </a:gsLst>
              <a:lin ang="0" scaled="1"/>
              <a:tileRect/>
            </a:gradFill>
          </c:spPr>
          <c:invertIfNegative val="0"/>
          <c:cat>
            <c:strRef>
              <c:f>'Your Elephant'!$D$5:$E$5</c:f>
              <c:strCache>
                <c:ptCount val="2"/>
                <c:pt idx="0">
                  <c:v>YOUR CHOICES</c:v>
                </c:pt>
                <c:pt idx="1">
                  <c:v>AVERAGE</c:v>
                </c:pt>
              </c:strCache>
            </c:strRef>
          </c:cat>
          <c:val>
            <c:numRef>
              <c:f>'Your Elephant'!$D$11:$E$11</c:f>
              <c:numCache>
                <c:formatCode>0.0</c:formatCode>
                <c:ptCount val="2"/>
                <c:pt idx="0">
                  <c:v>2.6304347826086958</c:v>
                </c:pt>
                <c:pt idx="1">
                  <c:v>2.6304347826086958</c:v>
                </c:pt>
              </c:numCache>
            </c:numRef>
          </c:val>
        </c:ser>
        <c:ser>
          <c:idx val="4"/>
          <c:order val="2"/>
          <c:tx>
            <c:strRef>
              <c:f>'Your Elephant'!$B$10</c:f>
              <c:strCache>
                <c:ptCount val="1"/>
                <c:pt idx="0">
                  <c:v>G&amp;S</c:v>
                </c:pt>
              </c:strCache>
            </c:strRef>
          </c:tx>
          <c:spPr>
            <a:gradFill flip="none" rotWithShape="1">
              <a:gsLst>
                <a:gs pos="0">
                  <a:schemeClr val="accent5">
                    <a:shade val="30000"/>
                    <a:satMod val="115000"/>
                    <a:lumMod val="80000"/>
                  </a:schemeClr>
                </a:gs>
                <a:gs pos="50000">
                  <a:schemeClr val="accent5">
                    <a:lumMod val="75000"/>
                    <a:shade val="67500"/>
                    <a:satMod val="115000"/>
                  </a:schemeClr>
                </a:gs>
                <a:gs pos="100000">
                  <a:schemeClr val="accent5">
                    <a:lumMod val="75000"/>
                    <a:shade val="100000"/>
                    <a:satMod val="115000"/>
                  </a:schemeClr>
                </a:gs>
              </a:gsLst>
              <a:lin ang="0" scaled="1"/>
              <a:tileRect/>
            </a:gradFill>
          </c:spPr>
          <c:invertIfNegative val="0"/>
          <c:cat>
            <c:strRef>
              <c:f>'Your Elephant'!$D$5:$E$5</c:f>
              <c:strCache>
                <c:ptCount val="2"/>
                <c:pt idx="0">
                  <c:v>YOUR CHOICES</c:v>
                </c:pt>
                <c:pt idx="1">
                  <c:v>AVERAGE</c:v>
                </c:pt>
              </c:strCache>
            </c:strRef>
          </c:cat>
          <c:val>
            <c:numRef>
              <c:f>'Your Elephant'!$D$10:$E$10</c:f>
              <c:numCache>
                <c:formatCode>0.0</c:formatCode>
                <c:ptCount val="2"/>
                <c:pt idx="0">
                  <c:v>4.3250000000000002</c:v>
                </c:pt>
                <c:pt idx="1">
                  <c:v>4.34</c:v>
                </c:pt>
              </c:numCache>
            </c:numRef>
          </c:val>
        </c:ser>
        <c:ser>
          <c:idx val="3"/>
          <c:order val="3"/>
          <c:tx>
            <c:strRef>
              <c:f>'Your Elephant'!$B$9</c:f>
              <c:strCache>
                <c:ptCount val="1"/>
                <c:pt idx="0">
                  <c:v>F</c:v>
                </c:pt>
              </c:strCache>
            </c:strRef>
          </c:tx>
          <c:spPr>
            <a:gradFill flip="none" rotWithShape="1">
              <a:gsLst>
                <a:gs pos="0">
                  <a:srgbClr val="00B050">
                    <a:shade val="30000"/>
                    <a:satMod val="115000"/>
                    <a:lumMod val="95000"/>
                    <a:lumOff val="5000"/>
                  </a:srgbClr>
                </a:gs>
                <a:gs pos="50000">
                  <a:srgbClr val="00B050">
                    <a:shade val="67500"/>
                    <a:satMod val="115000"/>
                  </a:srgbClr>
                </a:gs>
                <a:gs pos="100000">
                  <a:srgbClr val="00B05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Elephant'!$D$9:$E$9</c:f>
              <c:numCache>
                <c:formatCode>0.0</c:formatCode>
                <c:ptCount val="2"/>
                <c:pt idx="0">
                  <c:v>0.4596159999999998</c:v>
                </c:pt>
                <c:pt idx="1">
                  <c:v>3.05</c:v>
                </c:pt>
              </c:numCache>
            </c:numRef>
          </c:val>
        </c:ser>
        <c:ser>
          <c:idx val="2"/>
          <c:order val="4"/>
          <c:tx>
            <c:strRef>
              <c:f>'Your Elephant'!$B$8</c:f>
              <c:strCache>
                <c:ptCount val="1"/>
                <c:pt idx="0">
                  <c:v>FLY</c:v>
                </c:pt>
              </c:strCache>
            </c:strRef>
          </c:tx>
          <c:spPr>
            <a:gradFill flip="none" rotWithShape="1">
              <a:gsLst>
                <a:gs pos="0">
                  <a:srgbClr val="FFFF00">
                    <a:shade val="30000"/>
                    <a:satMod val="115000"/>
                    <a:lumMod val="90000"/>
                    <a:lumOff val="10000"/>
                  </a:srgbClr>
                </a:gs>
                <a:gs pos="50000">
                  <a:srgbClr val="FFFF00">
                    <a:shade val="67500"/>
                    <a:satMod val="115000"/>
                  </a:srgbClr>
                </a:gs>
                <a:gs pos="100000">
                  <a:srgbClr val="FFFF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Elephant'!$D$8:$E$8</c:f>
              <c:numCache>
                <c:formatCode>0.0</c:formatCode>
                <c:ptCount val="2"/>
                <c:pt idx="0">
                  <c:v>0.79799999999999993</c:v>
                </c:pt>
                <c:pt idx="1">
                  <c:v>0.78</c:v>
                </c:pt>
              </c:numCache>
            </c:numRef>
          </c:val>
        </c:ser>
        <c:ser>
          <c:idx val="1"/>
          <c:order val="5"/>
          <c:tx>
            <c:strRef>
              <c:f>'Your Elephant'!$B$7</c:f>
              <c:strCache>
                <c:ptCount val="1"/>
                <c:pt idx="0">
                  <c:v>TRA</c:v>
                </c:pt>
              </c:strCache>
            </c:strRef>
          </c:tx>
          <c:spPr>
            <a:gradFill flip="none" rotWithShape="1">
              <a:gsLst>
                <a:gs pos="0">
                  <a:srgbClr val="FFC000">
                    <a:shade val="30000"/>
                    <a:satMod val="115000"/>
                    <a:lumMod val="95000"/>
                    <a:lumOff val="5000"/>
                  </a:srgbClr>
                </a:gs>
                <a:gs pos="50000">
                  <a:srgbClr val="FFC000">
                    <a:shade val="67500"/>
                    <a:satMod val="115000"/>
                  </a:srgbClr>
                </a:gs>
                <a:gs pos="100000">
                  <a:srgbClr val="FFC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Elephant'!$D$7:$E$7</c:f>
              <c:numCache>
                <c:formatCode>0.0</c:formatCode>
                <c:ptCount val="2"/>
                <c:pt idx="0">
                  <c:v>2.4538434782608691</c:v>
                </c:pt>
                <c:pt idx="1">
                  <c:v>2.59</c:v>
                </c:pt>
              </c:numCache>
            </c:numRef>
          </c:val>
        </c:ser>
        <c:ser>
          <c:idx val="0"/>
          <c:order val="6"/>
          <c:tx>
            <c:strRef>
              <c:f>'Your Elephant'!$B$6</c:f>
              <c:strCache>
                <c:ptCount val="1"/>
                <c:pt idx="0">
                  <c:v>HE</c:v>
                </c:pt>
              </c:strCache>
            </c:strRef>
          </c:tx>
          <c:spPr>
            <a:gradFill flip="none" rotWithShape="1">
              <a:gsLst>
                <a:gs pos="0">
                  <a:srgbClr val="CC0000">
                    <a:shade val="30000"/>
                    <a:satMod val="115000"/>
                    <a:lumMod val="95000"/>
                    <a:lumOff val="5000"/>
                  </a:srgbClr>
                </a:gs>
                <a:gs pos="50000">
                  <a:srgbClr val="CC0000">
                    <a:shade val="67500"/>
                    <a:satMod val="115000"/>
                  </a:srgbClr>
                </a:gs>
                <a:gs pos="100000">
                  <a:srgbClr val="CC0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Elephant'!$D$6:$E$6</c:f>
              <c:numCache>
                <c:formatCode>0.0</c:formatCode>
                <c:ptCount val="2"/>
                <c:pt idx="0">
                  <c:v>2.4424325217391307</c:v>
                </c:pt>
                <c:pt idx="1">
                  <c:v>2.4700000000000002</c:v>
                </c:pt>
              </c:numCache>
            </c:numRef>
          </c:val>
        </c:ser>
        <c:dLbls>
          <c:showLegendKey val="0"/>
          <c:showVal val="0"/>
          <c:showCatName val="0"/>
          <c:showSerName val="0"/>
          <c:showPercent val="0"/>
          <c:showBubbleSize val="0"/>
        </c:dLbls>
        <c:gapWidth val="70"/>
        <c:overlap val="100"/>
        <c:axId val="90020480"/>
        <c:axId val="90030464"/>
      </c:barChart>
      <c:catAx>
        <c:axId val="90020480"/>
        <c:scaling>
          <c:orientation val="minMax"/>
        </c:scaling>
        <c:delete val="0"/>
        <c:axPos val="b"/>
        <c:numFmt formatCode="General" sourceLinked="0"/>
        <c:majorTickMark val="out"/>
        <c:minorTickMark val="none"/>
        <c:tickLblPos val="nextTo"/>
        <c:crossAx val="90030464"/>
        <c:crosses val="autoZero"/>
        <c:auto val="1"/>
        <c:lblAlgn val="ctr"/>
        <c:lblOffset val="100"/>
        <c:noMultiLvlLbl val="0"/>
      </c:catAx>
      <c:valAx>
        <c:axId val="90030464"/>
        <c:scaling>
          <c:orientation val="minMax"/>
        </c:scaling>
        <c:delete val="0"/>
        <c:axPos val="l"/>
        <c:title>
          <c:tx>
            <c:rich>
              <a:bodyPr rot="-5400000" vert="horz"/>
              <a:lstStyle/>
              <a:p>
                <a:pPr>
                  <a:defRPr b="0"/>
                </a:pPr>
                <a:r>
                  <a:rPr lang="en-US" b="0"/>
                  <a:t>PERSONAL CARBON FOOTPRINT, TONNES CO2E PER YEAR</a:t>
                </a:r>
              </a:p>
            </c:rich>
          </c:tx>
          <c:layout>
            <c:manualLayout>
              <c:xMode val="edge"/>
              <c:yMode val="edge"/>
              <c:x val="0.2667124478292674"/>
              <c:y val="0.28468048993875794"/>
            </c:manualLayout>
          </c:layout>
          <c:overlay val="0"/>
        </c:title>
        <c:numFmt formatCode="0" sourceLinked="0"/>
        <c:majorTickMark val="out"/>
        <c:minorTickMark val="none"/>
        <c:tickLblPos val="nextTo"/>
        <c:crossAx val="90020480"/>
        <c:crosses val="autoZero"/>
        <c:crossBetween val="between"/>
      </c:valAx>
      <c:spPr>
        <a:noFill/>
      </c:spPr>
    </c:plotArea>
    <c:legend>
      <c:legendPos val="r"/>
      <c:layout>
        <c:manualLayout>
          <c:xMode val="edge"/>
          <c:yMode val="edge"/>
          <c:x val="5.0923454240351121E-2"/>
          <c:y val="0.40054173228346457"/>
          <c:w val="0.16322189234542409"/>
          <c:h val="0.30015485564304473"/>
        </c:manualLayout>
      </c:layout>
      <c:overlay val="0"/>
      <c:txPr>
        <a:bodyPr/>
        <a:lstStyle/>
        <a:p>
          <a:pPr>
            <a:defRPr sz="1100">
              <a:latin typeface="Calibri Light" panose="020F0302020204030204" pitchFamily="34" charset="0"/>
            </a:defRPr>
          </a:pPr>
          <a:endParaRPr lang="en-U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732687922206478"/>
          <c:y val="0.1742835697450387"/>
          <c:w val="0.43575061314057068"/>
          <c:h val="0.72074121882305742"/>
        </c:manualLayout>
      </c:layout>
      <c:barChart>
        <c:barDir val="col"/>
        <c:grouping val="stacked"/>
        <c:varyColors val="0"/>
        <c:ser>
          <c:idx val="6"/>
          <c:order val="0"/>
          <c:tx>
            <c:strRef>
              <c:f>'Your Elephant'!$B$12</c:f>
              <c:strCache>
                <c:ptCount val="1"/>
                <c:pt idx="0">
                  <c:v>NE</c:v>
                </c:pt>
              </c:strCache>
            </c:strRef>
          </c:tx>
          <c:invertIfNegative val="0"/>
          <c:cat>
            <c:strRef>
              <c:f>'Your Elephant'!$D$5:$E$5</c:f>
              <c:strCache>
                <c:ptCount val="2"/>
                <c:pt idx="0">
                  <c:v>YOUR CHOICES</c:v>
                </c:pt>
                <c:pt idx="1">
                  <c:v>AVERAGE</c:v>
                </c:pt>
              </c:strCache>
            </c:strRef>
          </c:cat>
          <c:val>
            <c:numRef>
              <c:f>'Your Elephant'!$D$12:$E$12</c:f>
              <c:numCache>
                <c:formatCode>0.0</c:formatCode>
                <c:ptCount val="2"/>
                <c:pt idx="0">
                  <c:v>0</c:v>
                </c:pt>
                <c:pt idx="1">
                  <c:v>0</c:v>
                </c:pt>
              </c:numCache>
            </c:numRef>
          </c:val>
        </c:ser>
        <c:ser>
          <c:idx val="5"/>
          <c:order val="1"/>
          <c:tx>
            <c:strRef>
              <c:f>'Your Elephant'!$B$11</c:f>
              <c:strCache>
                <c:ptCount val="1"/>
                <c:pt idx="0">
                  <c:v>PS</c:v>
                </c:pt>
              </c:strCache>
            </c:strRef>
          </c:tx>
          <c:spPr>
            <a:gradFill flip="none" rotWithShape="1">
              <a:gsLst>
                <a:gs pos="0">
                  <a:schemeClr val="tx1">
                    <a:lumMod val="85000"/>
                    <a:lumOff val="15000"/>
                    <a:tint val="66000"/>
                    <a:satMod val="160000"/>
                  </a:schemeClr>
                </a:gs>
                <a:gs pos="50000">
                  <a:schemeClr val="tx1">
                    <a:lumMod val="85000"/>
                    <a:lumOff val="15000"/>
                    <a:tint val="44500"/>
                    <a:satMod val="160000"/>
                  </a:schemeClr>
                </a:gs>
                <a:gs pos="100000">
                  <a:schemeClr val="tx1">
                    <a:lumMod val="85000"/>
                    <a:lumOff val="15000"/>
                    <a:tint val="23500"/>
                    <a:satMod val="160000"/>
                  </a:schemeClr>
                </a:gs>
              </a:gsLst>
              <a:lin ang="0" scaled="1"/>
              <a:tileRect/>
            </a:gradFill>
          </c:spPr>
          <c:invertIfNegative val="0"/>
          <c:cat>
            <c:strRef>
              <c:f>'Your Elephant'!$D$5:$E$5</c:f>
              <c:strCache>
                <c:ptCount val="2"/>
                <c:pt idx="0">
                  <c:v>YOUR CHOICES</c:v>
                </c:pt>
                <c:pt idx="1">
                  <c:v>AVERAGE</c:v>
                </c:pt>
              </c:strCache>
            </c:strRef>
          </c:cat>
          <c:val>
            <c:numRef>
              <c:f>'Your Elephant'!$D$11:$E$11</c:f>
              <c:numCache>
                <c:formatCode>0.0</c:formatCode>
                <c:ptCount val="2"/>
                <c:pt idx="0">
                  <c:v>2.6304347826086958</c:v>
                </c:pt>
                <c:pt idx="1">
                  <c:v>2.6304347826086958</c:v>
                </c:pt>
              </c:numCache>
            </c:numRef>
          </c:val>
        </c:ser>
        <c:ser>
          <c:idx val="4"/>
          <c:order val="2"/>
          <c:tx>
            <c:strRef>
              <c:f>'Your Elephant'!$B$10</c:f>
              <c:strCache>
                <c:ptCount val="1"/>
                <c:pt idx="0">
                  <c:v>G&amp;S</c:v>
                </c:pt>
              </c:strCache>
            </c:strRef>
          </c:tx>
          <c:spPr>
            <a:gradFill flip="none" rotWithShape="1">
              <a:gsLst>
                <a:gs pos="0">
                  <a:schemeClr val="accent5">
                    <a:shade val="30000"/>
                    <a:satMod val="115000"/>
                    <a:lumMod val="80000"/>
                  </a:schemeClr>
                </a:gs>
                <a:gs pos="50000">
                  <a:schemeClr val="accent5">
                    <a:lumMod val="75000"/>
                    <a:shade val="67500"/>
                    <a:satMod val="115000"/>
                  </a:schemeClr>
                </a:gs>
                <a:gs pos="100000">
                  <a:schemeClr val="accent5">
                    <a:lumMod val="75000"/>
                    <a:shade val="100000"/>
                    <a:satMod val="115000"/>
                  </a:schemeClr>
                </a:gs>
              </a:gsLst>
              <a:lin ang="0" scaled="1"/>
              <a:tileRect/>
            </a:gradFill>
          </c:spPr>
          <c:invertIfNegative val="0"/>
          <c:cat>
            <c:strRef>
              <c:f>'Your Elephant'!$D$5:$E$5</c:f>
              <c:strCache>
                <c:ptCount val="2"/>
                <c:pt idx="0">
                  <c:v>YOUR CHOICES</c:v>
                </c:pt>
                <c:pt idx="1">
                  <c:v>AVERAGE</c:v>
                </c:pt>
              </c:strCache>
            </c:strRef>
          </c:cat>
          <c:val>
            <c:numRef>
              <c:f>'Your Elephant'!$D$10:$E$10</c:f>
              <c:numCache>
                <c:formatCode>0.0</c:formatCode>
                <c:ptCount val="2"/>
                <c:pt idx="0">
                  <c:v>4.3250000000000002</c:v>
                </c:pt>
                <c:pt idx="1">
                  <c:v>4.34</c:v>
                </c:pt>
              </c:numCache>
            </c:numRef>
          </c:val>
        </c:ser>
        <c:ser>
          <c:idx val="3"/>
          <c:order val="3"/>
          <c:tx>
            <c:strRef>
              <c:f>'Your Elephant'!$B$9</c:f>
              <c:strCache>
                <c:ptCount val="1"/>
                <c:pt idx="0">
                  <c:v>F</c:v>
                </c:pt>
              </c:strCache>
            </c:strRef>
          </c:tx>
          <c:spPr>
            <a:gradFill flip="none" rotWithShape="1">
              <a:gsLst>
                <a:gs pos="0">
                  <a:srgbClr val="00B050">
                    <a:shade val="30000"/>
                    <a:satMod val="115000"/>
                    <a:lumMod val="95000"/>
                    <a:lumOff val="5000"/>
                  </a:srgbClr>
                </a:gs>
                <a:gs pos="50000">
                  <a:srgbClr val="00B050">
                    <a:shade val="67500"/>
                    <a:satMod val="115000"/>
                  </a:srgbClr>
                </a:gs>
                <a:gs pos="100000">
                  <a:srgbClr val="00B05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Elephant'!$D$9:$E$9</c:f>
              <c:numCache>
                <c:formatCode>0.0</c:formatCode>
                <c:ptCount val="2"/>
                <c:pt idx="0">
                  <c:v>0.4596159999999998</c:v>
                </c:pt>
                <c:pt idx="1">
                  <c:v>3.05</c:v>
                </c:pt>
              </c:numCache>
            </c:numRef>
          </c:val>
        </c:ser>
        <c:ser>
          <c:idx val="2"/>
          <c:order val="4"/>
          <c:tx>
            <c:strRef>
              <c:f>'Your Elephant'!$B$8</c:f>
              <c:strCache>
                <c:ptCount val="1"/>
                <c:pt idx="0">
                  <c:v>FLY</c:v>
                </c:pt>
              </c:strCache>
            </c:strRef>
          </c:tx>
          <c:spPr>
            <a:gradFill flip="none" rotWithShape="1">
              <a:gsLst>
                <a:gs pos="0">
                  <a:srgbClr val="FFFF00">
                    <a:shade val="30000"/>
                    <a:satMod val="115000"/>
                    <a:lumMod val="90000"/>
                    <a:lumOff val="10000"/>
                  </a:srgbClr>
                </a:gs>
                <a:gs pos="50000">
                  <a:srgbClr val="FFFF00">
                    <a:shade val="67500"/>
                    <a:satMod val="115000"/>
                  </a:srgbClr>
                </a:gs>
                <a:gs pos="100000">
                  <a:srgbClr val="FFFF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Elephant'!$D$8:$E$8</c:f>
              <c:numCache>
                <c:formatCode>0.0</c:formatCode>
                <c:ptCount val="2"/>
                <c:pt idx="0">
                  <c:v>0.79799999999999993</c:v>
                </c:pt>
                <c:pt idx="1">
                  <c:v>0.78</c:v>
                </c:pt>
              </c:numCache>
            </c:numRef>
          </c:val>
        </c:ser>
        <c:ser>
          <c:idx val="1"/>
          <c:order val="5"/>
          <c:tx>
            <c:strRef>
              <c:f>'Your Elephant'!$B$7</c:f>
              <c:strCache>
                <c:ptCount val="1"/>
                <c:pt idx="0">
                  <c:v>TRA</c:v>
                </c:pt>
              </c:strCache>
            </c:strRef>
          </c:tx>
          <c:spPr>
            <a:gradFill flip="none" rotWithShape="1">
              <a:gsLst>
                <a:gs pos="0">
                  <a:srgbClr val="FFC000">
                    <a:shade val="30000"/>
                    <a:satMod val="115000"/>
                    <a:lumMod val="95000"/>
                    <a:lumOff val="5000"/>
                  </a:srgbClr>
                </a:gs>
                <a:gs pos="50000">
                  <a:srgbClr val="FFC000">
                    <a:shade val="67500"/>
                    <a:satMod val="115000"/>
                  </a:srgbClr>
                </a:gs>
                <a:gs pos="100000">
                  <a:srgbClr val="FFC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Elephant'!$D$7:$E$7</c:f>
              <c:numCache>
                <c:formatCode>0.0</c:formatCode>
                <c:ptCount val="2"/>
                <c:pt idx="0">
                  <c:v>2.4538434782608691</c:v>
                </c:pt>
                <c:pt idx="1">
                  <c:v>2.59</c:v>
                </c:pt>
              </c:numCache>
            </c:numRef>
          </c:val>
        </c:ser>
        <c:ser>
          <c:idx val="0"/>
          <c:order val="6"/>
          <c:tx>
            <c:strRef>
              <c:f>'Your Elephant'!$B$6</c:f>
              <c:strCache>
                <c:ptCount val="1"/>
                <c:pt idx="0">
                  <c:v>HE</c:v>
                </c:pt>
              </c:strCache>
            </c:strRef>
          </c:tx>
          <c:spPr>
            <a:gradFill flip="none" rotWithShape="1">
              <a:gsLst>
                <a:gs pos="0">
                  <a:srgbClr val="CC0000">
                    <a:shade val="30000"/>
                    <a:satMod val="115000"/>
                    <a:lumMod val="95000"/>
                    <a:lumOff val="5000"/>
                  </a:srgbClr>
                </a:gs>
                <a:gs pos="50000">
                  <a:srgbClr val="CC0000">
                    <a:shade val="67500"/>
                    <a:satMod val="115000"/>
                  </a:srgbClr>
                </a:gs>
                <a:gs pos="100000">
                  <a:srgbClr val="CC0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Elephant'!$D$6:$E$6</c:f>
              <c:numCache>
                <c:formatCode>0.0</c:formatCode>
                <c:ptCount val="2"/>
                <c:pt idx="0">
                  <c:v>2.4424325217391307</c:v>
                </c:pt>
                <c:pt idx="1">
                  <c:v>2.4700000000000002</c:v>
                </c:pt>
              </c:numCache>
            </c:numRef>
          </c:val>
        </c:ser>
        <c:dLbls>
          <c:showLegendKey val="0"/>
          <c:showVal val="0"/>
          <c:showCatName val="0"/>
          <c:showSerName val="0"/>
          <c:showPercent val="0"/>
          <c:showBubbleSize val="0"/>
        </c:dLbls>
        <c:gapWidth val="70"/>
        <c:overlap val="100"/>
        <c:axId val="89552384"/>
        <c:axId val="89553920"/>
      </c:barChart>
      <c:catAx>
        <c:axId val="89552384"/>
        <c:scaling>
          <c:orientation val="minMax"/>
        </c:scaling>
        <c:delete val="0"/>
        <c:axPos val="b"/>
        <c:numFmt formatCode="General" sourceLinked="0"/>
        <c:majorTickMark val="out"/>
        <c:minorTickMark val="none"/>
        <c:tickLblPos val="nextTo"/>
        <c:crossAx val="89553920"/>
        <c:crosses val="autoZero"/>
        <c:auto val="1"/>
        <c:lblAlgn val="ctr"/>
        <c:lblOffset val="100"/>
        <c:noMultiLvlLbl val="0"/>
      </c:catAx>
      <c:valAx>
        <c:axId val="89553920"/>
        <c:scaling>
          <c:orientation val="minMax"/>
        </c:scaling>
        <c:delete val="0"/>
        <c:axPos val="l"/>
        <c:title>
          <c:tx>
            <c:rich>
              <a:bodyPr rot="-5400000" vert="horz"/>
              <a:lstStyle/>
              <a:p>
                <a:pPr>
                  <a:defRPr b="0"/>
                </a:pPr>
                <a:r>
                  <a:rPr lang="en-US" b="0"/>
                  <a:t>PERSONAL CARBON FOOTPRINT, TONNES CO2E PER YEAR</a:t>
                </a:r>
              </a:p>
            </c:rich>
          </c:tx>
          <c:layout>
            <c:manualLayout>
              <c:xMode val="edge"/>
              <c:yMode val="edge"/>
              <c:x val="0.2667124478292674"/>
              <c:y val="0.28468048993875794"/>
            </c:manualLayout>
          </c:layout>
          <c:overlay val="0"/>
        </c:title>
        <c:numFmt formatCode="0" sourceLinked="0"/>
        <c:majorTickMark val="out"/>
        <c:minorTickMark val="none"/>
        <c:tickLblPos val="nextTo"/>
        <c:crossAx val="89552384"/>
        <c:crosses val="autoZero"/>
        <c:crossBetween val="between"/>
      </c:valAx>
      <c:spPr>
        <a:noFill/>
      </c:spPr>
    </c:plotArea>
    <c:legend>
      <c:legendPos val="r"/>
      <c:layout>
        <c:manualLayout>
          <c:xMode val="edge"/>
          <c:yMode val="edge"/>
          <c:x val="5.0923454240351121E-2"/>
          <c:y val="0.40054173228346457"/>
          <c:w val="0.16322189234542409"/>
          <c:h val="0.30015485564304473"/>
        </c:manualLayout>
      </c:layout>
      <c:overlay val="0"/>
      <c:txPr>
        <a:bodyPr/>
        <a:lstStyle/>
        <a:p>
          <a:pPr>
            <a:defRPr sz="1100">
              <a:latin typeface="Calibri Light" panose="020F0302020204030204" pitchFamily="34" charset="0"/>
            </a:defRPr>
          </a:pPr>
          <a:endParaRPr lang="en-U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732687922206478"/>
          <c:y val="0.1742835697450387"/>
          <c:w val="0.43575061314057068"/>
          <c:h val="0.72074121882305742"/>
        </c:manualLayout>
      </c:layout>
      <c:barChart>
        <c:barDir val="col"/>
        <c:grouping val="stacked"/>
        <c:varyColors val="0"/>
        <c:ser>
          <c:idx val="6"/>
          <c:order val="0"/>
          <c:tx>
            <c:strRef>
              <c:f>'Your Elephant'!$B$12</c:f>
              <c:strCache>
                <c:ptCount val="1"/>
                <c:pt idx="0">
                  <c:v>NE</c:v>
                </c:pt>
              </c:strCache>
            </c:strRef>
          </c:tx>
          <c:invertIfNegative val="0"/>
          <c:cat>
            <c:strRef>
              <c:f>'Your Elephant'!$D$5:$E$5</c:f>
              <c:strCache>
                <c:ptCount val="2"/>
                <c:pt idx="0">
                  <c:v>YOUR CHOICES</c:v>
                </c:pt>
                <c:pt idx="1">
                  <c:v>AVERAGE</c:v>
                </c:pt>
              </c:strCache>
            </c:strRef>
          </c:cat>
          <c:val>
            <c:numRef>
              <c:f>'Your Elephant'!$D$12:$E$12</c:f>
              <c:numCache>
                <c:formatCode>0.0</c:formatCode>
                <c:ptCount val="2"/>
                <c:pt idx="0">
                  <c:v>0</c:v>
                </c:pt>
                <c:pt idx="1">
                  <c:v>0</c:v>
                </c:pt>
              </c:numCache>
            </c:numRef>
          </c:val>
        </c:ser>
        <c:ser>
          <c:idx val="5"/>
          <c:order val="1"/>
          <c:tx>
            <c:strRef>
              <c:f>'Your Elephant'!$B$11</c:f>
              <c:strCache>
                <c:ptCount val="1"/>
                <c:pt idx="0">
                  <c:v>PS</c:v>
                </c:pt>
              </c:strCache>
            </c:strRef>
          </c:tx>
          <c:spPr>
            <a:gradFill flip="none" rotWithShape="1">
              <a:gsLst>
                <a:gs pos="0">
                  <a:schemeClr val="tx1">
                    <a:lumMod val="85000"/>
                    <a:lumOff val="15000"/>
                    <a:tint val="66000"/>
                    <a:satMod val="160000"/>
                  </a:schemeClr>
                </a:gs>
                <a:gs pos="50000">
                  <a:schemeClr val="tx1">
                    <a:lumMod val="85000"/>
                    <a:lumOff val="15000"/>
                    <a:tint val="44500"/>
                    <a:satMod val="160000"/>
                  </a:schemeClr>
                </a:gs>
                <a:gs pos="100000">
                  <a:schemeClr val="tx1">
                    <a:lumMod val="85000"/>
                    <a:lumOff val="15000"/>
                    <a:tint val="23500"/>
                    <a:satMod val="160000"/>
                  </a:schemeClr>
                </a:gs>
              </a:gsLst>
              <a:lin ang="0" scaled="1"/>
              <a:tileRect/>
            </a:gradFill>
          </c:spPr>
          <c:invertIfNegative val="0"/>
          <c:cat>
            <c:strRef>
              <c:f>'Your Elephant'!$D$5:$E$5</c:f>
              <c:strCache>
                <c:ptCount val="2"/>
                <c:pt idx="0">
                  <c:v>YOUR CHOICES</c:v>
                </c:pt>
                <c:pt idx="1">
                  <c:v>AVERAGE</c:v>
                </c:pt>
              </c:strCache>
            </c:strRef>
          </c:cat>
          <c:val>
            <c:numRef>
              <c:f>'Your Elephant'!$D$11:$E$11</c:f>
              <c:numCache>
                <c:formatCode>0.0</c:formatCode>
                <c:ptCount val="2"/>
                <c:pt idx="0">
                  <c:v>2.6304347826086958</c:v>
                </c:pt>
                <c:pt idx="1">
                  <c:v>2.6304347826086958</c:v>
                </c:pt>
              </c:numCache>
            </c:numRef>
          </c:val>
        </c:ser>
        <c:ser>
          <c:idx val="4"/>
          <c:order val="2"/>
          <c:tx>
            <c:strRef>
              <c:f>'Your Elephant'!$B$10</c:f>
              <c:strCache>
                <c:ptCount val="1"/>
                <c:pt idx="0">
                  <c:v>G&amp;S</c:v>
                </c:pt>
              </c:strCache>
            </c:strRef>
          </c:tx>
          <c:spPr>
            <a:gradFill flip="none" rotWithShape="1">
              <a:gsLst>
                <a:gs pos="0">
                  <a:schemeClr val="accent5">
                    <a:shade val="30000"/>
                    <a:satMod val="115000"/>
                    <a:lumMod val="80000"/>
                  </a:schemeClr>
                </a:gs>
                <a:gs pos="50000">
                  <a:schemeClr val="accent5">
                    <a:lumMod val="75000"/>
                    <a:shade val="67500"/>
                    <a:satMod val="115000"/>
                  </a:schemeClr>
                </a:gs>
                <a:gs pos="100000">
                  <a:schemeClr val="accent5">
                    <a:lumMod val="75000"/>
                    <a:shade val="100000"/>
                    <a:satMod val="115000"/>
                  </a:schemeClr>
                </a:gs>
              </a:gsLst>
              <a:lin ang="0" scaled="1"/>
              <a:tileRect/>
            </a:gradFill>
          </c:spPr>
          <c:invertIfNegative val="0"/>
          <c:cat>
            <c:strRef>
              <c:f>'Your Elephant'!$D$5:$E$5</c:f>
              <c:strCache>
                <c:ptCount val="2"/>
                <c:pt idx="0">
                  <c:v>YOUR CHOICES</c:v>
                </c:pt>
                <c:pt idx="1">
                  <c:v>AVERAGE</c:v>
                </c:pt>
              </c:strCache>
            </c:strRef>
          </c:cat>
          <c:val>
            <c:numRef>
              <c:f>'Your Elephant'!$D$10:$E$10</c:f>
              <c:numCache>
                <c:formatCode>0.0</c:formatCode>
                <c:ptCount val="2"/>
                <c:pt idx="0">
                  <c:v>4.3250000000000002</c:v>
                </c:pt>
                <c:pt idx="1">
                  <c:v>4.34</c:v>
                </c:pt>
              </c:numCache>
            </c:numRef>
          </c:val>
        </c:ser>
        <c:ser>
          <c:idx val="3"/>
          <c:order val="3"/>
          <c:tx>
            <c:strRef>
              <c:f>'Your Elephant'!$B$9</c:f>
              <c:strCache>
                <c:ptCount val="1"/>
                <c:pt idx="0">
                  <c:v>F</c:v>
                </c:pt>
              </c:strCache>
            </c:strRef>
          </c:tx>
          <c:spPr>
            <a:gradFill flip="none" rotWithShape="1">
              <a:gsLst>
                <a:gs pos="0">
                  <a:srgbClr val="00B050">
                    <a:shade val="30000"/>
                    <a:satMod val="115000"/>
                    <a:lumMod val="95000"/>
                    <a:lumOff val="5000"/>
                  </a:srgbClr>
                </a:gs>
                <a:gs pos="50000">
                  <a:srgbClr val="00B050">
                    <a:shade val="67500"/>
                    <a:satMod val="115000"/>
                  </a:srgbClr>
                </a:gs>
                <a:gs pos="100000">
                  <a:srgbClr val="00B05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Elephant'!$D$9:$E$9</c:f>
              <c:numCache>
                <c:formatCode>0.0</c:formatCode>
                <c:ptCount val="2"/>
                <c:pt idx="0">
                  <c:v>0.4596159999999998</c:v>
                </c:pt>
                <c:pt idx="1">
                  <c:v>3.05</c:v>
                </c:pt>
              </c:numCache>
            </c:numRef>
          </c:val>
        </c:ser>
        <c:ser>
          <c:idx val="2"/>
          <c:order val="4"/>
          <c:tx>
            <c:strRef>
              <c:f>'Your Elephant'!$B$8</c:f>
              <c:strCache>
                <c:ptCount val="1"/>
                <c:pt idx="0">
                  <c:v>FLY</c:v>
                </c:pt>
              </c:strCache>
            </c:strRef>
          </c:tx>
          <c:spPr>
            <a:gradFill flip="none" rotWithShape="1">
              <a:gsLst>
                <a:gs pos="0">
                  <a:srgbClr val="FFFF00">
                    <a:shade val="30000"/>
                    <a:satMod val="115000"/>
                    <a:lumMod val="90000"/>
                    <a:lumOff val="10000"/>
                  </a:srgbClr>
                </a:gs>
                <a:gs pos="50000">
                  <a:srgbClr val="FFFF00">
                    <a:shade val="67500"/>
                    <a:satMod val="115000"/>
                  </a:srgbClr>
                </a:gs>
                <a:gs pos="100000">
                  <a:srgbClr val="FFFF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Elephant'!$D$8:$E$8</c:f>
              <c:numCache>
                <c:formatCode>0.0</c:formatCode>
                <c:ptCount val="2"/>
                <c:pt idx="0">
                  <c:v>0.79799999999999993</c:v>
                </c:pt>
                <c:pt idx="1">
                  <c:v>0.78</c:v>
                </c:pt>
              </c:numCache>
            </c:numRef>
          </c:val>
        </c:ser>
        <c:ser>
          <c:idx val="1"/>
          <c:order val="5"/>
          <c:tx>
            <c:strRef>
              <c:f>'Your Elephant'!$B$7</c:f>
              <c:strCache>
                <c:ptCount val="1"/>
                <c:pt idx="0">
                  <c:v>TRA</c:v>
                </c:pt>
              </c:strCache>
            </c:strRef>
          </c:tx>
          <c:spPr>
            <a:gradFill flip="none" rotWithShape="1">
              <a:gsLst>
                <a:gs pos="0">
                  <a:srgbClr val="FFC000">
                    <a:shade val="30000"/>
                    <a:satMod val="115000"/>
                    <a:lumMod val="95000"/>
                    <a:lumOff val="5000"/>
                  </a:srgbClr>
                </a:gs>
                <a:gs pos="50000">
                  <a:srgbClr val="FFC000">
                    <a:shade val="67500"/>
                    <a:satMod val="115000"/>
                  </a:srgbClr>
                </a:gs>
                <a:gs pos="100000">
                  <a:srgbClr val="FFC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Elephant'!$D$7:$E$7</c:f>
              <c:numCache>
                <c:formatCode>0.0</c:formatCode>
                <c:ptCount val="2"/>
                <c:pt idx="0">
                  <c:v>2.4538434782608691</c:v>
                </c:pt>
                <c:pt idx="1">
                  <c:v>2.59</c:v>
                </c:pt>
              </c:numCache>
            </c:numRef>
          </c:val>
        </c:ser>
        <c:ser>
          <c:idx val="0"/>
          <c:order val="6"/>
          <c:tx>
            <c:strRef>
              <c:f>'Your Elephant'!$B$6</c:f>
              <c:strCache>
                <c:ptCount val="1"/>
                <c:pt idx="0">
                  <c:v>HE</c:v>
                </c:pt>
              </c:strCache>
            </c:strRef>
          </c:tx>
          <c:spPr>
            <a:gradFill flip="none" rotWithShape="1">
              <a:gsLst>
                <a:gs pos="0">
                  <a:srgbClr val="CC0000">
                    <a:shade val="30000"/>
                    <a:satMod val="115000"/>
                    <a:lumMod val="95000"/>
                    <a:lumOff val="5000"/>
                  </a:srgbClr>
                </a:gs>
                <a:gs pos="50000">
                  <a:srgbClr val="CC0000">
                    <a:shade val="67500"/>
                    <a:satMod val="115000"/>
                  </a:srgbClr>
                </a:gs>
                <a:gs pos="100000">
                  <a:srgbClr val="CC0000">
                    <a:shade val="100000"/>
                    <a:satMod val="115000"/>
                  </a:srgbClr>
                </a:gs>
              </a:gsLst>
              <a:lin ang="0" scaled="1"/>
              <a:tileRect/>
            </a:gradFill>
          </c:spPr>
          <c:invertIfNegative val="0"/>
          <c:cat>
            <c:strRef>
              <c:f>'Your Elephant'!$D$5:$E$5</c:f>
              <c:strCache>
                <c:ptCount val="2"/>
                <c:pt idx="0">
                  <c:v>YOUR CHOICES</c:v>
                </c:pt>
                <c:pt idx="1">
                  <c:v>AVERAGE</c:v>
                </c:pt>
              </c:strCache>
            </c:strRef>
          </c:cat>
          <c:val>
            <c:numRef>
              <c:f>'Your Elephant'!$D$6:$E$6</c:f>
              <c:numCache>
                <c:formatCode>0.0</c:formatCode>
                <c:ptCount val="2"/>
                <c:pt idx="0">
                  <c:v>2.4424325217391307</c:v>
                </c:pt>
                <c:pt idx="1">
                  <c:v>2.4700000000000002</c:v>
                </c:pt>
              </c:numCache>
            </c:numRef>
          </c:val>
        </c:ser>
        <c:dLbls>
          <c:showLegendKey val="0"/>
          <c:showVal val="0"/>
          <c:showCatName val="0"/>
          <c:showSerName val="0"/>
          <c:showPercent val="0"/>
          <c:showBubbleSize val="0"/>
        </c:dLbls>
        <c:gapWidth val="70"/>
        <c:overlap val="100"/>
        <c:axId val="89358720"/>
        <c:axId val="89360256"/>
      </c:barChart>
      <c:catAx>
        <c:axId val="89358720"/>
        <c:scaling>
          <c:orientation val="minMax"/>
        </c:scaling>
        <c:delete val="0"/>
        <c:axPos val="b"/>
        <c:numFmt formatCode="General" sourceLinked="0"/>
        <c:majorTickMark val="out"/>
        <c:minorTickMark val="none"/>
        <c:tickLblPos val="nextTo"/>
        <c:crossAx val="89360256"/>
        <c:crosses val="autoZero"/>
        <c:auto val="1"/>
        <c:lblAlgn val="ctr"/>
        <c:lblOffset val="100"/>
        <c:noMultiLvlLbl val="0"/>
      </c:catAx>
      <c:valAx>
        <c:axId val="89360256"/>
        <c:scaling>
          <c:orientation val="minMax"/>
        </c:scaling>
        <c:delete val="0"/>
        <c:axPos val="l"/>
        <c:title>
          <c:tx>
            <c:rich>
              <a:bodyPr rot="-5400000" vert="horz"/>
              <a:lstStyle/>
              <a:p>
                <a:pPr>
                  <a:defRPr b="0"/>
                </a:pPr>
                <a:r>
                  <a:rPr lang="en-US" b="0"/>
                  <a:t>PERSONAL CARBON FOOTPRINT, TONNES CO2E PER YEAR</a:t>
                </a:r>
              </a:p>
            </c:rich>
          </c:tx>
          <c:layout>
            <c:manualLayout>
              <c:xMode val="edge"/>
              <c:yMode val="edge"/>
              <c:x val="0.2667124478292674"/>
              <c:y val="0.28468048993875794"/>
            </c:manualLayout>
          </c:layout>
          <c:overlay val="0"/>
        </c:title>
        <c:numFmt formatCode="0" sourceLinked="0"/>
        <c:majorTickMark val="out"/>
        <c:minorTickMark val="none"/>
        <c:tickLblPos val="nextTo"/>
        <c:crossAx val="89358720"/>
        <c:crosses val="autoZero"/>
        <c:crossBetween val="between"/>
      </c:valAx>
      <c:spPr>
        <a:noFill/>
      </c:spPr>
    </c:plotArea>
    <c:legend>
      <c:legendPos val="r"/>
      <c:layout>
        <c:manualLayout>
          <c:xMode val="edge"/>
          <c:yMode val="edge"/>
          <c:x val="5.0923454240351121E-2"/>
          <c:y val="0.40054173228346457"/>
          <c:w val="0.16322189234542409"/>
          <c:h val="0.30015485564304473"/>
        </c:manualLayout>
      </c:layout>
      <c:overlay val="0"/>
      <c:txPr>
        <a:bodyPr/>
        <a:lstStyle/>
        <a:p>
          <a:pPr>
            <a:defRPr sz="1100">
              <a:latin typeface="Calibri Light" panose="020F0302020204030204" pitchFamily="34" charset="0"/>
            </a:defRPr>
          </a:pPr>
          <a:endParaRPr lang="en-U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chart" Target="../charts/chart10.xml"/><Relationship Id="rId5" Type="http://schemas.openxmlformats.org/officeDocument/2006/relationships/image" Target="../media/image1.png"/><Relationship Id="rId4"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4"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8" Type="http://schemas.openxmlformats.org/officeDocument/2006/relationships/chart" Target="../charts/chart36.xml"/><Relationship Id="rId3" Type="http://schemas.openxmlformats.org/officeDocument/2006/relationships/chart" Target="../charts/chart31.xml"/><Relationship Id="rId7" Type="http://schemas.openxmlformats.org/officeDocument/2006/relationships/chart" Target="../charts/chart35.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 Id="rId9" Type="http://schemas.openxmlformats.org/officeDocument/2006/relationships/chart" Target="../charts/chart3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6" Type="http://schemas.openxmlformats.org/officeDocument/2006/relationships/chart" Target="../charts/chart46.xml"/><Relationship Id="rId5" Type="http://schemas.openxmlformats.org/officeDocument/2006/relationships/chart" Target="../charts/chart45.xml"/><Relationship Id="rId4" Type="http://schemas.openxmlformats.org/officeDocument/2006/relationships/chart" Target="../charts/chart4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2743200</xdr:colOff>
      <xdr:row>15</xdr:row>
      <xdr:rowOff>47625</xdr:rowOff>
    </xdr:from>
    <xdr:to>
      <xdr:col>1</xdr:col>
      <xdr:colOff>2743200</xdr:colOff>
      <xdr:row>16</xdr:row>
      <xdr:rowOff>57150</xdr:rowOff>
    </xdr:to>
    <xdr:cxnSp macro="">
      <xdr:nvCxnSpPr>
        <xdr:cNvPr id="4" name="Straight Arrow Connector 3"/>
        <xdr:cNvCxnSpPr/>
      </xdr:nvCxnSpPr>
      <xdr:spPr>
        <a:xfrm>
          <a:off x="5695950" y="5219700"/>
          <a:ext cx="0" cy="390525"/>
        </a:xfrm>
        <a:prstGeom prst="straightConnector1">
          <a:avLst/>
        </a:prstGeom>
        <a:ln w="76200">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editAs="absolute">
    <xdr:from>
      <xdr:col>0</xdr:col>
      <xdr:colOff>0</xdr:colOff>
      <xdr:row>0</xdr:row>
      <xdr:rowOff>0</xdr:rowOff>
    </xdr:from>
    <xdr:to>
      <xdr:col>0</xdr:col>
      <xdr:colOff>2905125</xdr:colOff>
      <xdr:row>16</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0</xdr:colOff>
      <xdr:row>5</xdr:row>
      <xdr:rowOff>180975</xdr:rowOff>
    </xdr:from>
    <xdr:to>
      <xdr:col>31</xdr:col>
      <xdr:colOff>213494</xdr:colOff>
      <xdr:row>54</xdr:row>
      <xdr:rowOff>144993</xdr:rowOff>
    </xdr:to>
    <xdr:grpSp>
      <xdr:nvGrpSpPr>
        <xdr:cNvPr id="7" name="Group 6"/>
        <xdr:cNvGrpSpPr/>
      </xdr:nvGrpSpPr>
      <xdr:grpSpPr>
        <a:xfrm>
          <a:off x="7524750" y="2133600"/>
          <a:ext cx="19557182" cy="10457393"/>
          <a:chOff x="0" y="0"/>
          <a:chExt cx="19511144" cy="10470093"/>
        </a:xfrm>
      </xdr:grpSpPr>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229225"/>
            <a:ext cx="19507200" cy="5240868"/>
          </a:xfrm>
          <a:prstGeom prst="rect">
            <a:avLst/>
          </a:prstGeom>
        </xdr:spPr>
      </xdr:pic>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3600" y="0"/>
            <a:ext cx="9757544" cy="5240868"/>
          </a:xfrm>
          <a:prstGeom prst="rect">
            <a:avLst/>
          </a:prstGeom>
        </xdr:spPr>
      </xdr:pic>
    </xdr:grpSp>
    <xdr:clientData/>
  </xdr:twoCellAnchor>
  <xdr:twoCellAnchor editAs="absolute">
    <xdr:from>
      <xdr:col>0</xdr:col>
      <xdr:colOff>0</xdr:colOff>
      <xdr:row>0</xdr:row>
      <xdr:rowOff>0</xdr:rowOff>
    </xdr:from>
    <xdr:to>
      <xdr:col>19</xdr:col>
      <xdr:colOff>3944</xdr:colOff>
      <xdr:row>43</xdr:row>
      <xdr:rowOff>173568</xdr:rowOff>
    </xdr:to>
    <xdr:grpSp>
      <xdr:nvGrpSpPr>
        <xdr:cNvPr id="10" name="Group 9"/>
        <xdr:cNvGrpSpPr/>
      </xdr:nvGrpSpPr>
      <xdr:grpSpPr>
        <a:xfrm>
          <a:off x="0" y="0"/>
          <a:ext cx="19538132" cy="10524068"/>
          <a:chOff x="0" y="0"/>
          <a:chExt cx="19511144" cy="10470093"/>
        </a:xfrm>
      </xdr:grpSpPr>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229225"/>
            <a:ext cx="19507200" cy="5240868"/>
          </a:xfrm>
          <a:prstGeom prst="rect">
            <a:avLst/>
          </a:prstGeom>
        </xdr:spPr>
      </xdr:pic>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3600" y="0"/>
            <a:ext cx="9757544" cy="5240868"/>
          </a:xfrm>
          <a:prstGeom prst="rect">
            <a:avLst/>
          </a:prstGeom>
        </xdr:spPr>
      </xdr:pic>
    </xdr:grpSp>
    <xdr:clientData/>
  </xdr:twoCellAnchor>
  <xdr:twoCellAnchor editAs="absolute">
    <xdr:from>
      <xdr:col>2</xdr:col>
      <xdr:colOff>624658</xdr:colOff>
      <xdr:row>8</xdr:row>
      <xdr:rowOff>23391</xdr:rowOff>
    </xdr:from>
    <xdr:to>
      <xdr:col>2</xdr:col>
      <xdr:colOff>1766839</xdr:colOff>
      <xdr:row>10</xdr:row>
      <xdr:rowOff>4068</xdr:rowOff>
    </xdr:to>
    <xdr:pic>
      <xdr:nvPicPr>
        <xdr:cNvPr id="21" name="Picture 2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49408" y="2509416"/>
          <a:ext cx="1142181" cy="380727"/>
        </a:xfrm>
        <a:prstGeom prst="rect">
          <a:avLst/>
        </a:prstGeom>
        <a:noFill/>
        <a:ln>
          <a:noFill/>
        </a:ln>
      </xdr:spPr>
    </xdr:pic>
    <xdr:clientData/>
  </xdr:twoCellAnchor>
  <xdr:twoCellAnchor editAs="absolute">
    <xdr:from>
      <xdr:col>2</xdr:col>
      <xdr:colOff>357077</xdr:colOff>
      <xdr:row>12</xdr:row>
      <xdr:rowOff>187182</xdr:rowOff>
    </xdr:from>
    <xdr:to>
      <xdr:col>2</xdr:col>
      <xdr:colOff>1967754</xdr:colOff>
      <xdr:row>14</xdr:row>
      <xdr:rowOff>117966</xdr:rowOff>
    </xdr:to>
    <xdr:pic>
      <xdr:nvPicPr>
        <xdr:cNvPr id="22" name="Picture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81827" y="3473307"/>
          <a:ext cx="1610677" cy="1073784"/>
        </a:xfrm>
        <a:prstGeom prst="rect">
          <a:avLst/>
        </a:prstGeom>
        <a:noFill/>
        <a:ln>
          <a:noFill/>
        </a:ln>
      </xdr:spPr>
    </xdr:pic>
    <xdr:clientData/>
  </xdr:twoCellAnchor>
  <xdr:twoCellAnchor editAs="absolute">
    <xdr:from>
      <xdr:col>2</xdr:col>
      <xdr:colOff>577315</xdr:colOff>
      <xdr:row>14</xdr:row>
      <xdr:rowOff>156167</xdr:rowOff>
    </xdr:from>
    <xdr:to>
      <xdr:col>2</xdr:col>
      <xdr:colOff>1717867</xdr:colOff>
      <xdr:row>15</xdr:row>
      <xdr:rowOff>314325</xdr:rowOff>
    </xdr:to>
    <xdr:pic>
      <xdr:nvPicPr>
        <xdr:cNvPr id="23" name="Picture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102065" y="4585292"/>
          <a:ext cx="1140552" cy="443908"/>
        </a:xfrm>
        <a:prstGeom prst="rect">
          <a:avLst/>
        </a:prstGeom>
        <a:noFill/>
        <a:ln>
          <a:noFill/>
        </a:ln>
      </xdr:spPr>
    </xdr:pic>
    <xdr:clientData/>
  </xdr:twoCellAnchor>
  <xdr:twoCellAnchor editAs="absolute">
    <xdr:from>
      <xdr:col>2</xdr:col>
      <xdr:colOff>352426</xdr:colOff>
      <xdr:row>10</xdr:row>
      <xdr:rowOff>81948</xdr:rowOff>
    </xdr:from>
    <xdr:to>
      <xdr:col>2</xdr:col>
      <xdr:colOff>2051866</xdr:colOff>
      <xdr:row>12</xdr:row>
      <xdr:rowOff>173358</xdr:rowOff>
    </xdr:to>
    <xdr:pic>
      <xdr:nvPicPr>
        <xdr:cNvPr id="24" name="Picture 23"/>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877176" y="2968023"/>
          <a:ext cx="1699440" cy="491460"/>
        </a:xfrm>
        <a:prstGeom prst="rect">
          <a:avLst/>
        </a:prstGeom>
        <a:noFill/>
        <a:ln>
          <a:noFill/>
        </a:ln>
      </xdr:spPr>
    </xdr:pic>
    <xdr:clientData/>
  </xdr:twoCellAnchor>
  <xdr:twoCellAnchor editAs="absolute">
    <xdr:from>
      <xdr:col>2</xdr:col>
      <xdr:colOff>278710</xdr:colOff>
      <xdr:row>0</xdr:row>
      <xdr:rowOff>104775</xdr:rowOff>
    </xdr:from>
    <xdr:to>
      <xdr:col>2</xdr:col>
      <xdr:colOff>2028262</xdr:colOff>
      <xdr:row>6</xdr:row>
      <xdr:rowOff>57150</xdr:rowOff>
    </xdr:to>
    <xdr:pic>
      <xdr:nvPicPr>
        <xdr:cNvPr id="25" name="Picture 24"/>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8333" t="8333" r="8333" b="8333"/>
        <a:stretch/>
      </xdr:blipFill>
      <xdr:spPr>
        <a:xfrm>
          <a:off x="7803460" y="104775"/>
          <a:ext cx="1749552" cy="2038350"/>
        </a:xfrm>
        <a:prstGeom prst="rect">
          <a:avLst/>
        </a:prstGeom>
        <a:noFill/>
        <a:ln>
          <a:noFill/>
        </a:ln>
      </xdr:spPr>
    </xdr:pic>
    <xdr:clientData/>
  </xdr:twoCellAnchor>
  <xdr:twoCellAnchor editAs="absolute">
    <xdr:from>
      <xdr:col>2</xdr:col>
      <xdr:colOff>104775</xdr:colOff>
      <xdr:row>0</xdr:row>
      <xdr:rowOff>133350</xdr:rowOff>
    </xdr:from>
    <xdr:to>
      <xdr:col>2</xdr:col>
      <xdr:colOff>104775</xdr:colOff>
      <xdr:row>16</xdr:row>
      <xdr:rowOff>0</xdr:rowOff>
    </xdr:to>
    <xdr:cxnSp macro="">
      <xdr:nvCxnSpPr>
        <xdr:cNvPr id="26" name="Straight Connector 25"/>
        <xdr:cNvCxnSpPr/>
      </xdr:nvCxnSpPr>
      <xdr:spPr>
        <a:xfrm>
          <a:off x="7629525" y="133350"/>
          <a:ext cx="0" cy="4962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2905125</xdr:colOff>
      <xdr:row>21</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100005</xdr:rowOff>
    </xdr:from>
    <xdr:to>
      <xdr:col>23</xdr:col>
      <xdr:colOff>479425</xdr:colOff>
      <xdr:row>47</xdr:row>
      <xdr:rowOff>156105</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235568"/>
          <a:ext cx="19505613" cy="5247225"/>
        </a:xfrm>
        <a:prstGeom prst="rect">
          <a:avLst/>
        </a:prstGeom>
      </xdr:spPr>
    </xdr:pic>
    <xdr:clientData/>
  </xdr:twoCellAnchor>
  <xdr:twoCellAnchor>
    <xdr:from>
      <xdr:col>7</xdr:col>
      <xdr:colOff>3132932</xdr:colOff>
      <xdr:row>0</xdr:row>
      <xdr:rowOff>0</xdr:rowOff>
    </xdr:from>
    <xdr:to>
      <xdr:col>23</xdr:col>
      <xdr:colOff>483369</xdr:colOff>
      <xdr:row>21</xdr:row>
      <xdr:rowOff>111662</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2807" y="0"/>
          <a:ext cx="9756750" cy="52472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542925</xdr:colOff>
      <xdr:row>25</xdr:row>
      <xdr:rowOff>9525</xdr:rowOff>
    </xdr:from>
    <xdr:to>
      <xdr:col>33</xdr:col>
      <xdr:colOff>285750</xdr:colOff>
      <xdr:row>61</xdr:row>
      <xdr:rowOff>38100</xdr:rowOff>
    </xdr:to>
    <xdr:graphicFrame macro="">
      <xdr:nvGraphicFramePr>
        <xdr:cNvPr id="464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361950</xdr:colOff>
      <xdr:row>0</xdr:row>
      <xdr:rowOff>199280</xdr:rowOff>
    </xdr:from>
    <xdr:to>
      <xdr:col>2</xdr:col>
      <xdr:colOff>1628775</xdr:colOff>
      <xdr:row>1</xdr:row>
      <xdr:rowOff>725596</xdr:rowOff>
    </xdr:to>
    <xdr:pic>
      <xdr:nvPicPr>
        <xdr:cNvPr id="8" name="Picture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333" t="8333" r="8333" b="38272"/>
        <a:stretch/>
      </xdr:blipFill>
      <xdr:spPr>
        <a:xfrm>
          <a:off x="3952875" y="199280"/>
          <a:ext cx="1266825" cy="954941"/>
        </a:xfrm>
        <a:prstGeom prst="rect">
          <a:avLst/>
        </a:prstGeom>
        <a:noFill/>
        <a:ln>
          <a:noFill/>
        </a:ln>
      </xdr:spPr>
    </xdr:pic>
    <xdr:clientData/>
  </xdr:twoCellAnchor>
  <xdr:twoCellAnchor editAs="oneCell">
    <xdr:from>
      <xdr:col>5</xdr:col>
      <xdr:colOff>228601</xdr:colOff>
      <xdr:row>0</xdr:row>
      <xdr:rowOff>257175</xdr:rowOff>
    </xdr:from>
    <xdr:to>
      <xdr:col>6</xdr:col>
      <xdr:colOff>38917</xdr:colOff>
      <xdr:row>1</xdr:row>
      <xdr:rowOff>1032908</xdr:rowOff>
    </xdr:to>
    <xdr:pic>
      <xdr:nvPicPr>
        <xdr:cNvPr id="9" name="Picture 8" descr="http://www.marshfields.co.uk/_files/images/uk.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9526" y="257175"/>
          <a:ext cx="762816" cy="1204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0</xdr:colOff>
      <xdr:row>0</xdr:row>
      <xdr:rowOff>9525</xdr:rowOff>
    </xdr:from>
    <xdr:to>
      <xdr:col>0</xdr:col>
      <xdr:colOff>2905125</xdr:colOff>
      <xdr:row>16</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0</xdr:row>
      <xdr:rowOff>0</xdr:rowOff>
    </xdr:from>
    <xdr:to>
      <xdr:col>22</xdr:col>
      <xdr:colOff>594494</xdr:colOff>
      <xdr:row>37</xdr:row>
      <xdr:rowOff>78318</xdr:rowOff>
    </xdr:to>
    <xdr:grpSp>
      <xdr:nvGrpSpPr>
        <xdr:cNvPr id="12" name="Group 11"/>
        <xdr:cNvGrpSpPr/>
      </xdr:nvGrpSpPr>
      <xdr:grpSpPr>
        <a:xfrm>
          <a:off x="0" y="0"/>
          <a:ext cx="19533369" cy="10444693"/>
          <a:chOff x="0" y="0"/>
          <a:chExt cx="19511144" cy="10470093"/>
        </a:xfrm>
      </xdr:grpSpPr>
      <xdr:pic>
        <xdr:nvPicPr>
          <xdr:cNvPr id="13" name="Picture 1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5229225"/>
            <a:ext cx="19507200" cy="5240868"/>
          </a:xfrm>
          <a:prstGeom prst="rect">
            <a:avLst/>
          </a:prstGeom>
        </xdr:spPr>
      </xdr:pic>
      <xdr:pic>
        <xdr:nvPicPr>
          <xdr:cNvPr id="14" name="Picture 1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753600" y="0"/>
            <a:ext cx="9757544" cy="5240868"/>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2905125</xdr:colOff>
      <xdr:row>20</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21</xdr:col>
      <xdr:colOff>403994</xdr:colOff>
      <xdr:row>47</xdr:row>
      <xdr:rowOff>40218</xdr:rowOff>
    </xdr:to>
    <xdr:grpSp>
      <xdr:nvGrpSpPr>
        <xdr:cNvPr id="3" name="Group 2"/>
        <xdr:cNvGrpSpPr/>
      </xdr:nvGrpSpPr>
      <xdr:grpSpPr>
        <a:xfrm>
          <a:off x="0" y="0"/>
          <a:ext cx="19533369" cy="10462156"/>
          <a:chOff x="0" y="0"/>
          <a:chExt cx="19511144" cy="10470093"/>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229225"/>
            <a:ext cx="19507200" cy="5240868"/>
          </a:xfrm>
          <a:prstGeom prst="rect">
            <a:avLst/>
          </a:prstGeom>
        </xdr:spPr>
      </xdr:pic>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3600" y="0"/>
            <a:ext cx="9757544" cy="5240868"/>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104775</xdr:colOff>
      <xdr:row>71</xdr:row>
      <xdr:rowOff>95250</xdr:rowOff>
    </xdr:from>
    <xdr:to>
      <xdr:col>16</xdr:col>
      <xdr:colOff>304800</xdr:colOff>
      <xdr:row>90</xdr:row>
      <xdr:rowOff>152400</xdr:rowOff>
    </xdr:to>
    <xdr:graphicFrame macro="">
      <xdr:nvGraphicFramePr>
        <xdr:cNvPr id="78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257175</xdr:colOff>
      <xdr:row>60</xdr:row>
      <xdr:rowOff>57150</xdr:rowOff>
    </xdr:from>
    <xdr:to>
      <xdr:col>34</xdr:col>
      <xdr:colOff>266700</xdr:colOff>
      <xdr:row>74</xdr:row>
      <xdr:rowOff>104775</xdr:rowOff>
    </xdr:to>
    <xdr:graphicFrame macro="">
      <xdr:nvGraphicFramePr>
        <xdr:cNvPr id="785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0</xdr:row>
      <xdr:rowOff>0</xdr:rowOff>
    </xdr:from>
    <xdr:to>
      <xdr:col>0</xdr:col>
      <xdr:colOff>2905125</xdr:colOff>
      <xdr:row>18</xdr:row>
      <xdr:rowOff>171450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0</xdr:colOff>
      <xdr:row>0</xdr:row>
      <xdr:rowOff>0</xdr:rowOff>
    </xdr:from>
    <xdr:to>
      <xdr:col>14</xdr:col>
      <xdr:colOff>42044</xdr:colOff>
      <xdr:row>46</xdr:row>
      <xdr:rowOff>230718</xdr:rowOff>
    </xdr:to>
    <xdr:grpSp>
      <xdr:nvGrpSpPr>
        <xdr:cNvPr id="14" name="Group 13"/>
        <xdr:cNvGrpSpPr/>
      </xdr:nvGrpSpPr>
      <xdr:grpSpPr>
        <a:xfrm>
          <a:off x="0" y="0"/>
          <a:ext cx="19520669" cy="10406593"/>
          <a:chOff x="0" y="0"/>
          <a:chExt cx="19511144" cy="10470093"/>
        </a:xfrm>
      </xdr:grpSpPr>
      <xdr:pic>
        <xdr:nvPicPr>
          <xdr:cNvPr id="15" name="Picture 1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5229225"/>
            <a:ext cx="19507200" cy="5240868"/>
          </a:xfrm>
          <a:prstGeom prst="rect">
            <a:avLst/>
          </a:prstGeom>
        </xdr:spPr>
      </xdr:pic>
      <xdr:pic>
        <xdr:nvPicPr>
          <xdr:cNvPr id="16" name="Picture 1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753600" y="0"/>
            <a:ext cx="9757544" cy="5240868"/>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419100</xdr:colOff>
      <xdr:row>20</xdr:row>
      <xdr:rowOff>66675</xdr:rowOff>
    </xdr:from>
    <xdr:to>
      <xdr:col>7</xdr:col>
      <xdr:colOff>123825</xdr:colOff>
      <xdr:row>32</xdr:row>
      <xdr:rowOff>38100</xdr:rowOff>
    </xdr:to>
    <xdr:graphicFrame macro="">
      <xdr:nvGraphicFramePr>
        <xdr:cNvPr id="493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16</xdr:col>
      <xdr:colOff>38100</xdr:colOff>
      <xdr:row>0</xdr:row>
      <xdr:rowOff>2047875</xdr:rowOff>
    </xdr:to>
    <xdr:graphicFrame macro="">
      <xdr:nvGraphicFramePr>
        <xdr:cNvPr id="63780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419100</xdr:colOff>
      <xdr:row>21</xdr:row>
      <xdr:rowOff>66675</xdr:rowOff>
    </xdr:from>
    <xdr:to>
      <xdr:col>7</xdr:col>
      <xdr:colOff>123825</xdr:colOff>
      <xdr:row>33</xdr:row>
      <xdr:rowOff>38100</xdr:rowOff>
    </xdr:to>
    <xdr:graphicFrame macro="">
      <xdr:nvGraphicFramePr>
        <xdr:cNvPr id="27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504825</xdr:colOff>
      <xdr:row>6</xdr:row>
      <xdr:rowOff>276225</xdr:rowOff>
    </xdr:from>
    <xdr:to>
      <xdr:col>13</xdr:col>
      <xdr:colOff>523875</xdr:colOff>
      <xdr:row>29</xdr:row>
      <xdr:rowOff>104775</xdr:rowOff>
    </xdr:to>
    <xdr:graphicFrame macro="">
      <xdr:nvGraphicFramePr>
        <xdr:cNvPr id="2728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371475</xdr:colOff>
      <xdr:row>7</xdr:row>
      <xdr:rowOff>28575</xdr:rowOff>
    </xdr:from>
    <xdr:to>
      <xdr:col>18</xdr:col>
      <xdr:colOff>438150</xdr:colOff>
      <xdr:row>30</xdr:row>
      <xdr:rowOff>38100</xdr:rowOff>
    </xdr:to>
    <xdr:graphicFrame macro="">
      <xdr:nvGraphicFramePr>
        <xdr:cNvPr id="2728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409575</xdr:colOff>
      <xdr:row>7</xdr:row>
      <xdr:rowOff>114300</xdr:rowOff>
    </xdr:from>
    <xdr:to>
      <xdr:col>25</xdr:col>
      <xdr:colOff>123825</xdr:colOff>
      <xdr:row>39</xdr:row>
      <xdr:rowOff>66675</xdr:rowOff>
    </xdr:to>
    <xdr:graphicFrame macro="">
      <xdr:nvGraphicFramePr>
        <xdr:cNvPr id="2728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38100</xdr:colOff>
      <xdr:row>29</xdr:row>
      <xdr:rowOff>123825</xdr:rowOff>
    </xdr:from>
    <xdr:to>
      <xdr:col>18</xdr:col>
      <xdr:colOff>95250</xdr:colOff>
      <xdr:row>48</xdr:row>
      <xdr:rowOff>114300</xdr:rowOff>
    </xdr:to>
    <xdr:graphicFrame macro="">
      <xdr:nvGraphicFramePr>
        <xdr:cNvPr id="168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314325</xdr:colOff>
      <xdr:row>1</xdr:row>
      <xdr:rowOff>152400</xdr:rowOff>
    </xdr:from>
    <xdr:to>
      <xdr:col>20</xdr:col>
      <xdr:colOff>57150</xdr:colOff>
      <xdr:row>22</xdr:row>
      <xdr:rowOff>85725</xdr:rowOff>
    </xdr:to>
    <xdr:graphicFrame macro="">
      <xdr:nvGraphicFramePr>
        <xdr:cNvPr id="16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390525</xdr:colOff>
      <xdr:row>44</xdr:row>
      <xdr:rowOff>19050</xdr:rowOff>
    </xdr:from>
    <xdr:to>
      <xdr:col>17</xdr:col>
      <xdr:colOff>47625</xdr:colOff>
      <xdr:row>58</xdr:row>
      <xdr:rowOff>95250</xdr:rowOff>
    </xdr:to>
    <xdr:graphicFrame macro="">
      <xdr:nvGraphicFramePr>
        <xdr:cNvPr id="16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28575</xdr:colOff>
      <xdr:row>21</xdr:row>
      <xdr:rowOff>19050</xdr:rowOff>
    </xdr:from>
    <xdr:to>
      <xdr:col>18</xdr:col>
      <xdr:colOff>333375</xdr:colOff>
      <xdr:row>35</xdr:row>
      <xdr:rowOff>95250</xdr:rowOff>
    </xdr:to>
    <xdr:graphicFrame macro="">
      <xdr:nvGraphicFramePr>
        <xdr:cNvPr id="168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33</xdr:col>
      <xdr:colOff>514350</xdr:colOff>
      <xdr:row>10</xdr:row>
      <xdr:rowOff>9525</xdr:rowOff>
    </xdr:from>
    <xdr:to>
      <xdr:col>37</xdr:col>
      <xdr:colOff>390525</xdr:colOff>
      <xdr:row>24</xdr:row>
      <xdr:rowOff>85725</xdr:rowOff>
    </xdr:to>
    <xdr:graphicFrame macro="">
      <xdr:nvGraphicFramePr>
        <xdr:cNvPr id="22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8</xdr:col>
      <xdr:colOff>400050</xdr:colOff>
      <xdr:row>5</xdr:row>
      <xdr:rowOff>57150</xdr:rowOff>
    </xdr:from>
    <xdr:to>
      <xdr:col>15</xdr:col>
      <xdr:colOff>704850</xdr:colOff>
      <xdr:row>35</xdr:row>
      <xdr:rowOff>66675</xdr:rowOff>
    </xdr:to>
    <xdr:graphicFrame macro="">
      <xdr:nvGraphicFramePr>
        <xdr:cNvPr id="340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533400</xdr:colOff>
      <xdr:row>23</xdr:row>
      <xdr:rowOff>76200</xdr:rowOff>
    </xdr:from>
    <xdr:to>
      <xdr:col>15</xdr:col>
      <xdr:colOff>219075</xdr:colOff>
      <xdr:row>32</xdr:row>
      <xdr:rowOff>104775</xdr:rowOff>
    </xdr:to>
    <xdr:graphicFrame macro="">
      <xdr:nvGraphicFramePr>
        <xdr:cNvPr id="34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499244</xdr:colOff>
      <xdr:row>39</xdr:row>
      <xdr:rowOff>68793</xdr:rowOff>
    </xdr:to>
    <xdr:grpSp>
      <xdr:nvGrpSpPr>
        <xdr:cNvPr id="8" name="Group 7"/>
        <xdr:cNvGrpSpPr/>
      </xdr:nvGrpSpPr>
      <xdr:grpSpPr>
        <a:xfrm>
          <a:off x="0" y="0"/>
          <a:ext cx="19533369" cy="10458981"/>
          <a:chOff x="0" y="0"/>
          <a:chExt cx="19511144" cy="10470093"/>
        </a:xfrm>
      </xdr:grpSpPr>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229225"/>
            <a:ext cx="19507200" cy="5240868"/>
          </a:xfrm>
          <a:prstGeom prst="rect">
            <a:avLst/>
          </a:prstGeom>
        </xdr:spPr>
      </xdr:pic>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0"/>
            <a:ext cx="9757544" cy="5240868"/>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142875</xdr:colOff>
      <xdr:row>17</xdr:row>
      <xdr:rowOff>104775</xdr:rowOff>
    </xdr:from>
    <xdr:to>
      <xdr:col>3</xdr:col>
      <xdr:colOff>571500</xdr:colOff>
      <xdr:row>31</xdr:row>
      <xdr:rowOff>180975</xdr:rowOff>
    </xdr:to>
    <xdr:graphicFrame macro="">
      <xdr:nvGraphicFramePr>
        <xdr:cNvPr id="52556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xdr:colOff>
      <xdr:row>28</xdr:row>
      <xdr:rowOff>180975</xdr:rowOff>
    </xdr:from>
    <xdr:to>
      <xdr:col>8</xdr:col>
      <xdr:colOff>57150</xdr:colOff>
      <xdr:row>43</xdr:row>
      <xdr:rowOff>114300</xdr:rowOff>
    </xdr:to>
    <xdr:graphicFrame macro="">
      <xdr:nvGraphicFramePr>
        <xdr:cNvPr id="525563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466725</xdr:colOff>
      <xdr:row>17</xdr:row>
      <xdr:rowOff>9525</xdr:rowOff>
    </xdr:from>
    <xdr:to>
      <xdr:col>9</xdr:col>
      <xdr:colOff>200025</xdr:colOff>
      <xdr:row>28</xdr:row>
      <xdr:rowOff>180975</xdr:rowOff>
    </xdr:to>
    <xdr:graphicFrame macro="">
      <xdr:nvGraphicFramePr>
        <xdr:cNvPr id="52556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342900</xdr:colOff>
      <xdr:row>16</xdr:row>
      <xdr:rowOff>114300</xdr:rowOff>
    </xdr:from>
    <xdr:to>
      <xdr:col>11</xdr:col>
      <xdr:colOff>581025</xdr:colOff>
      <xdr:row>32</xdr:row>
      <xdr:rowOff>38100</xdr:rowOff>
    </xdr:to>
    <xdr:graphicFrame macro="">
      <xdr:nvGraphicFramePr>
        <xdr:cNvPr id="525563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142875</xdr:colOff>
      <xdr:row>17</xdr:row>
      <xdr:rowOff>38100</xdr:rowOff>
    </xdr:from>
    <xdr:to>
      <xdr:col>16</xdr:col>
      <xdr:colOff>228600</xdr:colOff>
      <xdr:row>31</xdr:row>
      <xdr:rowOff>114300</xdr:rowOff>
    </xdr:to>
    <xdr:graphicFrame macro="">
      <xdr:nvGraphicFramePr>
        <xdr:cNvPr id="525563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600075</xdr:colOff>
      <xdr:row>20</xdr:row>
      <xdr:rowOff>85725</xdr:rowOff>
    </xdr:from>
    <xdr:to>
      <xdr:col>19</xdr:col>
      <xdr:colOff>342900</xdr:colOff>
      <xdr:row>36</xdr:row>
      <xdr:rowOff>38100</xdr:rowOff>
    </xdr:to>
    <xdr:graphicFrame macro="">
      <xdr:nvGraphicFramePr>
        <xdr:cNvPr id="525563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28575</xdr:colOff>
      <xdr:row>26</xdr:row>
      <xdr:rowOff>47625</xdr:rowOff>
    </xdr:from>
    <xdr:to>
      <xdr:col>12</xdr:col>
      <xdr:colOff>495300</xdr:colOff>
      <xdr:row>36</xdr:row>
      <xdr:rowOff>133350</xdr:rowOff>
    </xdr:to>
    <xdr:graphicFrame macro="">
      <xdr:nvGraphicFramePr>
        <xdr:cNvPr id="525563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161925</xdr:colOff>
      <xdr:row>28</xdr:row>
      <xdr:rowOff>66675</xdr:rowOff>
    </xdr:from>
    <xdr:to>
      <xdr:col>4</xdr:col>
      <xdr:colOff>323850</xdr:colOff>
      <xdr:row>37</xdr:row>
      <xdr:rowOff>19050</xdr:rowOff>
    </xdr:to>
    <xdr:graphicFrame macro="">
      <xdr:nvGraphicFramePr>
        <xdr:cNvPr id="525564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314325</xdr:colOff>
      <xdr:row>36</xdr:row>
      <xdr:rowOff>85725</xdr:rowOff>
    </xdr:from>
    <xdr:to>
      <xdr:col>21</xdr:col>
      <xdr:colOff>295275</xdr:colOff>
      <xdr:row>44</xdr:row>
      <xdr:rowOff>171450</xdr:rowOff>
    </xdr:to>
    <xdr:graphicFrame macro="">
      <xdr:nvGraphicFramePr>
        <xdr:cNvPr id="525564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409575</xdr:colOff>
      <xdr:row>5</xdr:row>
      <xdr:rowOff>28575</xdr:rowOff>
    </xdr:from>
    <xdr:to>
      <xdr:col>22</xdr:col>
      <xdr:colOff>104775</xdr:colOff>
      <xdr:row>19</xdr:row>
      <xdr:rowOff>104775</xdr:rowOff>
    </xdr:to>
    <xdr:graphicFrame macro="">
      <xdr:nvGraphicFramePr>
        <xdr:cNvPr id="5750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8</xdr:col>
      <xdr:colOff>419100</xdr:colOff>
      <xdr:row>27</xdr:row>
      <xdr:rowOff>180975</xdr:rowOff>
    </xdr:from>
    <xdr:to>
      <xdr:col>13</xdr:col>
      <xdr:colOff>314325</xdr:colOff>
      <xdr:row>40</xdr:row>
      <xdr:rowOff>161925</xdr:rowOff>
    </xdr:to>
    <xdr:graphicFrame macro="">
      <xdr:nvGraphicFramePr>
        <xdr:cNvPr id="585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14</xdr:col>
      <xdr:colOff>504825</xdr:colOff>
      <xdr:row>22</xdr:row>
      <xdr:rowOff>38100</xdr:rowOff>
    </xdr:from>
    <xdr:to>
      <xdr:col>20</xdr:col>
      <xdr:colOff>266700</xdr:colOff>
      <xdr:row>36</xdr:row>
      <xdr:rowOff>123825</xdr:rowOff>
    </xdr:to>
    <xdr:graphicFrame macro="">
      <xdr:nvGraphicFramePr>
        <xdr:cNvPr id="5955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104775</xdr:colOff>
      <xdr:row>27</xdr:row>
      <xdr:rowOff>180975</xdr:rowOff>
    </xdr:from>
    <xdr:to>
      <xdr:col>6</xdr:col>
      <xdr:colOff>533400</xdr:colOff>
      <xdr:row>36</xdr:row>
      <xdr:rowOff>0</xdr:rowOff>
    </xdr:to>
    <xdr:graphicFrame macro="">
      <xdr:nvGraphicFramePr>
        <xdr:cNvPr id="74803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323850</xdr:colOff>
      <xdr:row>34</xdr:row>
      <xdr:rowOff>76200</xdr:rowOff>
    </xdr:from>
    <xdr:to>
      <xdr:col>8</xdr:col>
      <xdr:colOff>28575</xdr:colOff>
      <xdr:row>45</xdr:row>
      <xdr:rowOff>95250</xdr:rowOff>
    </xdr:to>
    <xdr:graphicFrame macro="">
      <xdr:nvGraphicFramePr>
        <xdr:cNvPr id="74803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33</xdr:row>
      <xdr:rowOff>85725</xdr:rowOff>
    </xdr:from>
    <xdr:to>
      <xdr:col>5</xdr:col>
      <xdr:colOff>495300</xdr:colOff>
      <xdr:row>43</xdr:row>
      <xdr:rowOff>133350</xdr:rowOff>
    </xdr:to>
    <xdr:graphicFrame macro="">
      <xdr:nvGraphicFramePr>
        <xdr:cNvPr id="748034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142875</xdr:colOff>
      <xdr:row>29</xdr:row>
      <xdr:rowOff>180975</xdr:rowOff>
    </xdr:from>
    <xdr:to>
      <xdr:col>12</xdr:col>
      <xdr:colOff>571500</xdr:colOff>
      <xdr:row>38</xdr:row>
      <xdr:rowOff>85725</xdr:rowOff>
    </xdr:to>
    <xdr:graphicFrame macro="">
      <xdr:nvGraphicFramePr>
        <xdr:cNvPr id="748034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571500</xdr:colOff>
      <xdr:row>36</xdr:row>
      <xdr:rowOff>66675</xdr:rowOff>
    </xdr:from>
    <xdr:to>
      <xdr:col>14</xdr:col>
      <xdr:colOff>381000</xdr:colOff>
      <xdr:row>42</xdr:row>
      <xdr:rowOff>152400</xdr:rowOff>
    </xdr:to>
    <xdr:graphicFrame macro="">
      <xdr:nvGraphicFramePr>
        <xdr:cNvPr id="748034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37</xdr:row>
      <xdr:rowOff>47625</xdr:rowOff>
    </xdr:from>
    <xdr:to>
      <xdr:col>11</xdr:col>
      <xdr:colOff>200025</xdr:colOff>
      <xdr:row>45</xdr:row>
      <xdr:rowOff>142875</xdr:rowOff>
    </xdr:to>
    <xdr:graphicFrame macro="">
      <xdr:nvGraphicFramePr>
        <xdr:cNvPr id="748034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20</xdr:col>
      <xdr:colOff>232544</xdr:colOff>
      <xdr:row>35</xdr:row>
      <xdr:rowOff>78318</xdr:rowOff>
    </xdr:to>
    <xdr:grpSp>
      <xdr:nvGrpSpPr>
        <xdr:cNvPr id="8" name="Group 7"/>
        <xdr:cNvGrpSpPr/>
      </xdr:nvGrpSpPr>
      <xdr:grpSpPr>
        <a:xfrm>
          <a:off x="0" y="0"/>
          <a:ext cx="19536544" cy="10659006"/>
          <a:chOff x="0" y="0"/>
          <a:chExt cx="19511144" cy="10470093"/>
        </a:xfrm>
      </xdr:grpSpPr>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229225"/>
            <a:ext cx="19507200" cy="5240868"/>
          </a:xfrm>
          <a:prstGeom prst="rect">
            <a:avLst/>
          </a:prstGeom>
        </xdr:spPr>
      </xdr:pic>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0"/>
            <a:ext cx="9757544" cy="524086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2905125</xdr:colOff>
      <xdr:row>15</xdr:row>
      <xdr:rowOff>19050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xdr:row>
      <xdr:rowOff>187318</xdr:rowOff>
    </xdr:from>
    <xdr:to>
      <xdr:col>16</xdr:col>
      <xdr:colOff>146050</xdr:colOff>
      <xdr:row>41</xdr:row>
      <xdr:rowOff>187855</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235568"/>
          <a:ext cx="19505613" cy="5247225"/>
        </a:xfrm>
        <a:prstGeom prst="rect">
          <a:avLst/>
        </a:prstGeom>
      </xdr:spPr>
    </xdr:pic>
    <xdr:clientData/>
  </xdr:twoCellAnchor>
  <xdr:twoCellAnchor>
    <xdr:from>
      <xdr:col>4</xdr:col>
      <xdr:colOff>2378869</xdr:colOff>
      <xdr:row>0</xdr:row>
      <xdr:rowOff>0</xdr:rowOff>
    </xdr:from>
    <xdr:to>
      <xdr:col>16</xdr:col>
      <xdr:colOff>149994</xdr:colOff>
      <xdr:row>15</xdr:row>
      <xdr:rowOff>537</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2807" y="0"/>
          <a:ext cx="9756750" cy="52472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2905125</xdr:colOff>
      <xdr:row>15</xdr:row>
      <xdr:rowOff>28575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11</xdr:col>
      <xdr:colOff>384944</xdr:colOff>
      <xdr:row>42</xdr:row>
      <xdr:rowOff>125943</xdr:rowOff>
    </xdr:to>
    <xdr:grpSp>
      <xdr:nvGrpSpPr>
        <xdr:cNvPr id="8" name="Group 7"/>
        <xdr:cNvGrpSpPr/>
      </xdr:nvGrpSpPr>
      <xdr:grpSpPr>
        <a:xfrm>
          <a:off x="0" y="0"/>
          <a:ext cx="19522257" cy="10508193"/>
          <a:chOff x="0" y="0"/>
          <a:chExt cx="19511144" cy="10470093"/>
        </a:xfrm>
      </xdr:grpSpPr>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229225"/>
            <a:ext cx="19507200" cy="5240868"/>
          </a:xfrm>
          <a:prstGeom prst="rect">
            <a:avLst/>
          </a:prstGeom>
        </xdr:spPr>
      </xdr:pic>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3600" y="0"/>
            <a:ext cx="9757544" cy="5240868"/>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542925</xdr:colOff>
      <xdr:row>10</xdr:row>
      <xdr:rowOff>95250</xdr:rowOff>
    </xdr:from>
    <xdr:to>
      <xdr:col>15</xdr:col>
      <xdr:colOff>571500</xdr:colOff>
      <xdr:row>24</xdr:row>
      <xdr:rowOff>171450</xdr:rowOff>
    </xdr:to>
    <xdr:graphicFrame macro="">
      <xdr:nvGraphicFramePr>
        <xdr:cNvPr id="290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0</xdr:col>
      <xdr:colOff>2905125</xdr:colOff>
      <xdr:row>18</xdr:row>
      <xdr:rowOff>19050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0</xdr:row>
      <xdr:rowOff>0</xdr:rowOff>
    </xdr:from>
    <xdr:to>
      <xdr:col>15</xdr:col>
      <xdr:colOff>175394</xdr:colOff>
      <xdr:row>45</xdr:row>
      <xdr:rowOff>106893</xdr:rowOff>
    </xdr:to>
    <xdr:grpSp>
      <xdr:nvGrpSpPr>
        <xdr:cNvPr id="9" name="Group 8"/>
        <xdr:cNvGrpSpPr/>
      </xdr:nvGrpSpPr>
      <xdr:grpSpPr>
        <a:xfrm>
          <a:off x="0" y="0"/>
          <a:ext cx="19519082" cy="10497081"/>
          <a:chOff x="0" y="0"/>
          <a:chExt cx="19511144" cy="10470093"/>
        </a:xfrm>
      </xdr:grpSpPr>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5229225"/>
            <a:ext cx="19507200" cy="5240868"/>
          </a:xfrm>
          <a:prstGeom prst="rect">
            <a:avLst/>
          </a:prstGeom>
        </xdr:spPr>
      </xdr:pic>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753600" y="0"/>
            <a:ext cx="9757544" cy="5240868"/>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2905125</xdr:colOff>
      <xdr:row>20</xdr:row>
      <xdr:rowOff>76200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14</xdr:col>
      <xdr:colOff>3944</xdr:colOff>
      <xdr:row>47</xdr:row>
      <xdr:rowOff>173568</xdr:rowOff>
    </xdr:to>
    <xdr:grpSp>
      <xdr:nvGrpSpPr>
        <xdr:cNvPr id="18" name="Group 17"/>
        <xdr:cNvGrpSpPr/>
      </xdr:nvGrpSpPr>
      <xdr:grpSpPr>
        <a:xfrm>
          <a:off x="0" y="0"/>
          <a:ext cx="19530194" cy="10444693"/>
          <a:chOff x="0" y="0"/>
          <a:chExt cx="19511144" cy="10470093"/>
        </a:xfrm>
      </xdr:grpSpPr>
      <xdr:pic>
        <xdr:nvPicPr>
          <xdr:cNvPr id="19" name="Picture 1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229225"/>
            <a:ext cx="19507200" cy="5240868"/>
          </a:xfrm>
          <a:prstGeom prst="rect">
            <a:avLst/>
          </a:prstGeom>
        </xdr:spPr>
      </xdr:pic>
      <xdr:pic>
        <xdr:nvPicPr>
          <xdr:cNvPr id="20" name="Picture 1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3600" y="0"/>
            <a:ext cx="9757544" cy="5240868"/>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2905125</xdr:colOff>
      <xdr:row>15</xdr:row>
      <xdr:rowOff>171450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19</xdr:col>
      <xdr:colOff>111894</xdr:colOff>
      <xdr:row>43</xdr:row>
      <xdr:rowOff>59268</xdr:rowOff>
    </xdr:to>
    <xdr:grpSp>
      <xdr:nvGrpSpPr>
        <xdr:cNvPr id="10" name="Group 9"/>
        <xdr:cNvGrpSpPr/>
      </xdr:nvGrpSpPr>
      <xdr:grpSpPr>
        <a:xfrm>
          <a:off x="0" y="0"/>
          <a:ext cx="19542894" cy="10497081"/>
          <a:chOff x="0" y="0"/>
          <a:chExt cx="19511144" cy="10470093"/>
        </a:xfrm>
      </xdr:grpSpPr>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229225"/>
            <a:ext cx="19507200" cy="5240868"/>
          </a:xfrm>
          <a:prstGeom prst="rect">
            <a:avLst/>
          </a:prstGeom>
        </xdr:spPr>
      </xdr:pic>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3600" y="0"/>
            <a:ext cx="9757544" cy="5240868"/>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2905125</xdr:colOff>
      <xdr:row>12</xdr:row>
      <xdr:rowOff>185738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10</xdr:col>
      <xdr:colOff>1165994</xdr:colOff>
      <xdr:row>26</xdr:row>
      <xdr:rowOff>52918</xdr:rowOff>
    </xdr:to>
    <xdr:grpSp>
      <xdr:nvGrpSpPr>
        <xdr:cNvPr id="8" name="Group 7"/>
        <xdr:cNvGrpSpPr/>
      </xdr:nvGrpSpPr>
      <xdr:grpSpPr>
        <a:xfrm>
          <a:off x="0" y="0"/>
          <a:ext cx="19509557" cy="10482793"/>
          <a:chOff x="0" y="0"/>
          <a:chExt cx="19511144" cy="10470093"/>
        </a:xfrm>
      </xdr:grpSpPr>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229225"/>
            <a:ext cx="19507200" cy="5240868"/>
          </a:xfrm>
          <a:prstGeom prst="rect">
            <a:avLst/>
          </a:prstGeom>
        </xdr:spPr>
      </xdr:pic>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3600" y="0"/>
            <a:ext cx="9757544" cy="524086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wall/My%20Documents/The%20kids%20version%20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PACE HEATING"/>
      <sheetName val="WATER HEATING"/>
      <sheetName val="APPLIANCES"/>
      <sheetName val="TRAVEL"/>
      <sheetName val="HOLIDAYS"/>
      <sheetName val="Food"/>
      <sheetName val="G and S"/>
      <sheetName val="SUMMARY"/>
      <sheetName val="G&amp;S"/>
      <sheetName val="2 QUESTIONS"/>
      <sheetName val="NAMES &amp; VALUES"/>
      <sheetName val="OVERVIEW"/>
      <sheetName val="Sheet1"/>
      <sheetName val="Sheet2"/>
      <sheetName val="Sheet3"/>
      <sheetName val="INCOME Elasticities"/>
      <sheetName val="Income el formulae"/>
      <sheetName val="Dwelling size"/>
      <sheetName val="Occupancy formulae"/>
      <sheetName val="AMENDMENT"/>
      <sheetName val="TRAV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5">
          <cell r="O55" t="str">
            <v>Higher than present estimate</v>
          </cell>
        </row>
        <row r="56">
          <cell r="O56" t="str">
            <v>Lower than present estimate</v>
          </cell>
        </row>
        <row r="57">
          <cell r="O57" t="str">
            <v>No multiplier</v>
          </cell>
        </row>
        <row r="58">
          <cell r="O58" t="str">
            <v>Keep present value</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hyperlink" Target="http://www.ons.gov.uk/ons/rel/household-income/the-effects-of-taxes-and-benefits-on-household-income/historical-data--1977-2011-12/summary--historical-data--1977-2011-12.html" TargetMode="External"/><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hyperlink" Target="http://webarchive.nationalarchives.gov.uk/20110118095356/http:/www.cabe.org.uk/files/dwelling-size-survey.pdf" TargetMode="Externa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59"/>
  <sheetViews>
    <sheetView showGridLines="0" showRowColHeaders="0" zoomScale="120" zoomScaleNormal="120" workbookViewId="0">
      <selection activeCell="A21" sqref="A21"/>
    </sheetView>
  </sheetViews>
  <sheetFormatPr defaultRowHeight="15" x14ac:dyDescent="0.25"/>
  <cols>
    <col min="1" max="1" width="44.28515625" style="140" customWidth="1"/>
    <col min="2" max="2" width="68.5703125" style="140" customWidth="1"/>
    <col min="3" max="3" width="33.42578125" style="140" customWidth="1"/>
    <col min="4" max="16384" width="9.140625" style="140"/>
  </cols>
  <sheetData>
    <row r="1" spans="1:17" ht="33.75" x14ac:dyDescent="0.5">
      <c r="A1" s="228" t="s">
        <v>606</v>
      </c>
      <c r="B1" s="229" t="s">
        <v>1511</v>
      </c>
      <c r="C1" s="132"/>
      <c r="D1" s="138"/>
      <c r="E1" s="138"/>
      <c r="F1" s="138"/>
      <c r="G1" s="138"/>
      <c r="H1" s="138"/>
      <c r="I1" s="138"/>
      <c r="J1" s="138"/>
      <c r="K1" s="138"/>
      <c r="L1" s="138"/>
      <c r="M1" s="138"/>
      <c r="N1" s="138"/>
      <c r="O1" s="138"/>
      <c r="P1" s="138"/>
      <c r="Q1" s="138"/>
    </row>
    <row r="2" spans="1:17" ht="3.75" customHeight="1" x14ac:dyDescent="0.3">
      <c r="A2" s="132"/>
      <c r="B2" s="133"/>
      <c r="C2" s="132"/>
      <c r="D2" s="138"/>
      <c r="E2" s="138"/>
      <c r="F2" s="128"/>
      <c r="G2" s="138"/>
      <c r="H2" s="138"/>
      <c r="I2" s="138"/>
      <c r="J2" s="138"/>
      <c r="K2" s="138"/>
      <c r="L2" s="138"/>
      <c r="M2" s="138"/>
      <c r="N2" s="138"/>
      <c r="O2" s="138"/>
      <c r="P2" s="138"/>
      <c r="Q2" s="138"/>
    </row>
    <row r="3" spans="1:17" ht="52.5" customHeight="1" x14ac:dyDescent="0.25">
      <c r="A3" s="132"/>
      <c r="B3" s="230" t="s">
        <v>1512</v>
      </c>
      <c r="C3" s="132"/>
      <c r="D3" s="138"/>
      <c r="E3" s="138"/>
      <c r="F3" s="138"/>
      <c r="G3" s="138"/>
      <c r="H3" s="138"/>
      <c r="I3" s="138"/>
      <c r="J3" s="138"/>
      <c r="K3" s="138"/>
      <c r="L3" s="138"/>
      <c r="M3" s="138"/>
      <c r="N3" s="138"/>
      <c r="O3" s="138"/>
      <c r="P3" s="138"/>
      <c r="Q3" s="138"/>
    </row>
    <row r="4" spans="1:17" ht="45" x14ac:dyDescent="0.25">
      <c r="A4" s="132"/>
      <c r="B4" s="230" t="s">
        <v>1439</v>
      </c>
      <c r="C4" s="132"/>
      <c r="D4" s="138"/>
      <c r="E4" s="138"/>
      <c r="F4" s="138"/>
      <c r="G4" s="138"/>
      <c r="H4" s="138"/>
      <c r="I4" s="138"/>
      <c r="J4" s="138"/>
      <c r="K4" s="138"/>
      <c r="L4" s="138"/>
      <c r="M4" s="138"/>
      <c r="N4" s="138"/>
      <c r="O4" s="138"/>
      <c r="P4" s="138"/>
      <c r="Q4" s="138"/>
    </row>
    <row r="5" spans="1:17" ht="18.75" customHeight="1" x14ac:dyDescent="0.25">
      <c r="A5" s="132"/>
      <c r="B5" s="230" t="s">
        <v>1440</v>
      </c>
      <c r="C5" s="132"/>
      <c r="D5" s="138"/>
      <c r="E5" s="138"/>
      <c r="F5" s="138"/>
      <c r="G5" s="138"/>
      <c r="H5" s="138"/>
      <c r="I5" s="138"/>
      <c r="J5" s="138"/>
      <c r="K5" s="138"/>
      <c r="L5" s="138"/>
      <c r="M5" s="138"/>
      <c r="N5" s="138"/>
      <c r="O5" s="138"/>
      <c r="P5" s="138"/>
      <c r="Q5" s="138"/>
    </row>
    <row r="6" spans="1:17" ht="15.75" x14ac:dyDescent="0.25">
      <c r="A6" s="134"/>
      <c r="B6" s="231" t="s">
        <v>1441</v>
      </c>
      <c r="C6" s="134"/>
      <c r="D6" s="138"/>
      <c r="E6" s="138"/>
      <c r="F6" s="138"/>
      <c r="G6" s="138"/>
      <c r="H6" s="138"/>
      <c r="I6" s="138"/>
      <c r="J6" s="138"/>
      <c r="K6" s="138"/>
      <c r="L6" s="138"/>
      <c r="M6" s="138"/>
      <c r="N6" s="138"/>
      <c r="O6" s="138"/>
      <c r="P6" s="138"/>
      <c r="Q6" s="138"/>
    </row>
    <row r="7" spans="1:17" ht="15.75" x14ac:dyDescent="0.25">
      <c r="A7" s="134"/>
      <c r="B7" s="232" t="s">
        <v>1442</v>
      </c>
      <c r="C7" s="134"/>
      <c r="D7" s="138"/>
      <c r="E7" s="138"/>
      <c r="F7" s="138"/>
      <c r="G7" s="138"/>
      <c r="H7" s="138"/>
      <c r="I7" s="138"/>
      <c r="J7" s="138"/>
      <c r="K7" s="138"/>
      <c r="L7" s="138"/>
      <c r="M7" s="138"/>
      <c r="N7" s="138"/>
      <c r="O7" s="138"/>
      <c r="P7" s="138"/>
      <c r="Q7" s="138"/>
    </row>
    <row r="8" spans="1:17" ht="15.75" x14ac:dyDescent="0.25">
      <c r="A8" s="134"/>
      <c r="B8" s="233" t="s">
        <v>637</v>
      </c>
      <c r="C8" s="134"/>
      <c r="D8" s="138"/>
      <c r="E8" s="138"/>
      <c r="F8" s="138"/>
      <c r="G8" s="138"/>
      <c r="H8" s="138"/>
      <c r="I8" s="138"/>
      <c r="J8" s="138"/>
      <c r="K8" s="138"/>
      <c r="L8" s="138"/>
      <c r="M8" s="138"/>
      <c r="N8" s="138"/>
      <c r="O8" s="138"/>
      <c r="P8" s="138"/>
      <c r="Q8" s="138"/>
    </row>
    <row r="9" spans="1:17" ht="15.75" x14ac:dyDescent="0.25">
      <c r="A9" s="134"/>
      <c r="B9" s="135" t="s">
        <v>1334</v>
      </c>
      <c r="C9" s="134"/>
      <c r="D9" s="138"/>
      <c r="E9" s="138"/>
      <c r="F9" s="138"/>
      <c r="G9" s="138"/>
      <c r="H9" s="138"/>
      <c r="I9" s="138"/>
      <c r="J9" s="138"/>
      <c r="K9" s="138"/>
      <c r="L9" s="138"/>
      <c r="M9" s="138"/>
      <c r="N9" s="138"/>
      <c r="O9" s="138"/>
      <c r="P9" s="138"/>
      <c r="Q9" s="138"/>
    </row>
    <row r="10" spans="1:17" ht="15.75" x14ac:dyDescent="0.25">
      <c r="A10" s="134"/>
      <c r="B10" s="234" t="s">
        <v>1443</v>
      </c>
      <c r="C10" s="134"/>
      <c r="D10" s="138"/>
      <c r="E10" s="138"/>
      <c r="F10" s="138"/>
      <c r="G10" s="138"/>
      <c r="H10" s="138"/>
      <c r="I10" s="138"/>
      <c r="J10" s="138"/>
      <c r="K10" s="138"/>
      <c r="L10" s="138"/>
      <c r="M10" s="138"/>
      <c r="N10" s="138"/>
      <c r="O10" s="138"/>
      <c r="P10" s="138"/>
      <c r="Q10" s="138"/>
    </row>
    <row r="11" spans="1:17" ht="15.75" x14ac:dyDescent="0.25">
      <c r="A11" s="134"/>
      <c r="B11" s="230" t="s">
        <v>1444</v>
      </c>
      <c r="C11" s="134"/>
      <c r="D11" s="138"/>
      <c r="E11" s="138"/>
      <c r="F11" s="138"/>
      <c r="G11" s="138"/>
      <c r="H11" s="138"/>
      <c r="I11" s="138"/>
      <c r="J11" s="138"/>
      <c r="K11" s="138"/>
      <c r="L11" s="138"/>
      <c r="M11" s="138"/>
      <c r="N11" s="138"/>
      <c r="O11" s="138"/>
      <c r="P11" s="138"/>
      <c r="Q11" s="138"/>
    </row>
    <row r="12" spans="1:17" ht="15.75" x14ac:dyDescent="0.25">
      <c r="A12" s="134"/>
      <c r="B12" s="235" t="s">
        <v>1028</v>
      </c>
      <c r="C12" s="134"/>
      <c r="D12" s="138"/>
      <c r="E12" s="138"/>
      <c r="F12" s="138"/>
      <c r="G12" s="138"/>
      <c r="H12" s="138"/>
      <c r="I12" s="138"/>
      <c r="J12" s="138"/>
      <c r="K12" s="138"/>
      <c r="L12" s="138"/>
      <c r="M12" s="138"/>
      <c r="N12" s="138"/>
      <c r="O12" s="138"/>
      <c r="P12" s="138"/>
      <c r="Q12" s="138"/>
    </row>
    <row r="13" spans="1:17" s="143" customFormat="1" ht="37.5" customHeight="1" x14ac:dyDescent="0.25">
      <c r="A13" s="132"/>
      <c r="B13" s="236" t="s">
        <v>1445</v>
      </c>
      <c r="C13" s="132"/>
      <c r="D13" s="138"/>
      <c r="E13" s="138"/>
      <c r="F13" s="138"/>
      <c r="G13" s="138"/>
      <c r="H13" s="138"/>
      <c r="I13" s="138"/>
      <c r="J13" s="138"/>
      <c r="K13" s="138"/>
      <c r="L13" s="138"/>
      <c r="M13" s="138"/>
      <c r="N13" s="138"/>
      <c r="O13" s="138"/>
      <c r="P13" s="138"/>
      <c r="Q13" s="138"/>
    </row>
    <row r="14" spans="1:17" s="143" customFormat="1" ht="52.5" customHeight="1" x14ac:dyDescent="0.25">
      <c r="A14" s="132"/>
      <c r="B14" s="236" t="s">
        <v>1446</v>
      </c>
      <c r="C14" s="132"/>
      <c r="D14" s="138"/>
      <c r="E14" s="138"/>
      <c r="F14" s="138"/>
      <c r="G14" s="138"/>
      <c r="H14" s="138"/>
      <c r="I14" s="138"/>
      <c r="J14" s="138"/>
      <c r="K14" s="138"/>
      <c r="L14" s="138"/>
      <c r="M14" s="138"/>
      <c r="N14" s="138"/>
      <c r="O14" s="138"/>
      <c r="P14" s="138"/>
      <c r="Q14" s="138"/>
    </row>
    <row r="15" spans="1:17" ht="22.5" customHeight="1" x14ac:dyDescent="0.25">
      <c r="A15" s="132"/>
      <c r="B15" s="306" t="s">
        <v>1447</v>
      </c>
      <c r="C15" s="132"/>
      <c r="D15" s="138"/>
      <c r="E15" s="138"/>
      <c r="F15" s="138"/>
      <c r="G15" s="138"/>
      <c r="H15" s="138"/>
      <c r="I15" s="138"/>
      <c r="J15" s="138"/>
      <c r="K15" s="138"/>
      <c r="L15" s="138"/>
      <c r="M15" s="138"/>
      <c r="N15" s="138"/>
      <c r="O15" s="138"/>
      <c r="P15" s="138"/>
      <c r="Q15" s="138"/>
    </row>
    <row r="16" spans="1:17" ht="30" customHeight="1" x14ac:dyDescent="0.35">
      <c r="A16" s="132"/>
      <c r="B16" s="237" t="s">
        <v>1145</v>
      </c>
      <c r="C16" s="132"/>
      <c r="D16" s="138"/>
      <c r="E16" s="138"/>
      <c r="F16" s="138"/>
      <c r="G16" s="138"/>
      <c r="H16" s="138"/>
      <c r="I16" s="138"/>
      <c r="J16" s="138"/>
      <c r="K16" s="138"/>
      <c r="L16" s="138"/>
      <c r="M16" s="138"/>
      <c r="N16" s="138"/>
      <c r="O16" s="138"/>
      <c r="P16" s="138"/>
      <c r="Q16" s="138"/>
    </row>
    <row r="17" spans="1:17" ht="15.75" x14ac:dyDescent="0.25">
      <c r="A17" s="132"/>
      <c r="B17" s="136"/>
      <c r="C17" s="132"/>
      <c r="D17" s="138"/>
      <c r="E17" s="138"/>
      <c r="F17" s="138"/>
      <c r="G17" s="138"/>
      <c r="H17" s="138"/>
      <c r="I17" s="138"/>
      <c r="J17" s="138"/>
      <c r="K17" s="138"/>
      <c r="L17" s="138"/>
      <c r="M17" s="138"/>
      <c r="N17" s="138"/>
      <c r="O17" s="138"/>
      <c r="P17" s="138"/>
      <c r="Q17" s="138"/>
    </row>
    <row r="18" spans="1:17" x14ac:dyDescent="0.25">
      <c r="A18" s="138"/>
      <c r="B18" s="138"/>
      <c r="C18" s="138"/>
      <c r="D18" s="138"/>
      <c r="E18" s="138"/>
      <c r="F18" s="138"/>
      <c r="G18" s="138"/>
      <c r="H18" s="138"/>
      <c r="I18" s="138"/>
      <c r="J18" s="138"/>
      <c r="K18" s="138"/>
      <c r="L18" s="138"/>
      <c r="M18" s="138"/>
      <c r="N18" s="138"/>
      <c r="O18" s="138"/>
      <c r="P18" s="138"/>
      <c r="Q18" s="138"/>
    </row>
    <row r="19" spans="1:17" x14ac:dyDescent="0.25">
      <c r="A19" s="138"/>
      <c r="B19" s="138"/>
      <c r="C19" s="138"/>
      <c r="D19" s="138"/>
      <c r="E19" s="138"/>
      <c r="F19" s="138"/>
      <c r="G19" s="138"/>
      <c r="H19" s="138"/>
      <c r="I19" s="138"/>
      <c r="J19" s="138"/>
      <c r="K19" s="138"/>
      <c r="L19" s="138"/>
      <c r="M19" s="138"/>
      <c r="N19" s="138"/>
      <c r="O19" s="138"/>
      <c r="P19" s="138"/>
      <c r="Q19" s="138"/>
    </row>
    <row r="20" spans="1:17" x14ac:dyDescent="0.25">
      <c r="A20" s="138"/>
      <c r="B20" s="138"/>
      <c r="C20" s="138"/>
      <c r="D20" s="138"/>
      <c r="E20" s="138"/>
      <c r="F20" s="138"/>
      <c r="G20" s="138"/>
      <c r="H20" s="138"/>
      <c r="I20" s="138"/>
      <c r="J20" s="138"/>
      <c r="K20" s="138"/>
      <c r="L20" s="138"/>
      <c r="M20" s="138"/>
      <c r="N20" s="138"/>
      <c r="O20" s="138"/>
      <c r="P20" s="138"/>
      <c r="Q20" s="138"/>
    </row>
    <row r="21" spans="1:17" x14ac:dyDescent="0.25">
      <c r="A21" s="138"/>
      <c r="B21" s="138"/>
      <c r="C21" s="138"/>
      <c r="D21" s="138"/>
      <c r="E21" s="138"/>
      <c r="F21" s="138"/>
      <c r="G21" s="138"/>
      <c r="H21" s="138"/>
      <c r="I21" s="138"/>
      <c r="J21" s="138"/>
      <c r="K21" s="138"/>
      <c r="L21" s="138"/>
      <c r="M21" s="138"/>
      <c r="N21" s="138"/>
      <c r="O21" s="138"/>
      <c r="P21" s="138"/>
      <c r="Q21" s="138"/>
    </row>
    <row r="22" spans="1:17" x14ac:dyDescent="0.25">
      <c r="A22" s="138"/>
      <c r="B22" s="138"/>
      <c r="C22" s="138"/>
      <c r="D22" s="138"/>
      <c r="E22" s="138"/>
      <c r="F22" s="138"/>
      <c r="G22" s="138"/>
      <c r="H22" s="138"/>
      <c r="I22" s="138"/>
      <c r="J22" s="138"/>
      <c r="K22" s="138"/>
      <c r="L22" s="138"/>
      <c r="M22" s="138"/>
      <c r="N22" s="138"/>
      <c r="O22" s="138"/>
      <c r="P22" s="138"/>
      <c r="Q22" s="138"/>
    </row>
    <row r="23" spans="1:17" x14ac:dyDescent="0.25">
      <c r="A23" s="138"/>
      <c r="B23" s="138"/>
      <c r="C23" s="138"/>
      <c r="D23" s="138"/>
      <c r="E23" s="138"/>
      <c r="F23" s="138"/>
      <c r="G23" s="138"/>
      <c r="H23" s="138"/>
      <c r="I23" s="138"/>
      <c r="J23" s="138"/>
      <c r="K23" s="138"/>
      <c r="L23" s="138"/>
      <c r="M23" s="138"/>
      <c r="N23" s="138"/>
      <c r="O23" s="138"/>
      <c r="P23" s="138"/>
      <c r="Q23" s="138"/>
    </row>
    <row r="24" spans="1:17" x14ac:dyDescent="0.25">
      <c r="A24" s="138"/>
      <c r="B24" s="138"/>
      <c r="C24" s="138"/>
      <c r="D24" s="138"/>
      <c r="E24" s="138"/>
      <c r="F24" s="138"/>
      <c r="G24" s="138"/>
      <c r="H24" s="138"/>
      <c r="I24" s="138"/>
      <c r="J24" s="138"/>
      <c r="K24" s="138"/>
      <c r="L24" s="138"/>
      <c r="M24" s="138"/>
      <c r="N24" s="138"/>
      <c r="O24" s="138"/>
      <c r="P24" s="138"/>
      <c r="Q24" s="138"/>
    </row>
    <row r="25" spans="1:17" x14ac:dyDescent="0.25">
      <c r="A25" s="138"/>
      <c r="B25" s="138"/>
      <c r="C25" s="138"/>
      <c r="D25" s="130"/>
      <c r="E25" s="138"/>
      <c r="F25" s="138"/>
      <c r="G25" s="130"/>
      <c r="H25" s="138"/>
      <c r="I25" s="138"/>
      <c r="J25" s="138"/>
      <c r="K25" s="138"/>
      <c r="L25" s="138"/>
      <c r="M25" s="138"/>
      <c r="N25" s="138"/>
      <c r="O25" s="138"/>
      <c r="P25" s="138"/>
      <c r="Q25" s="138"/>
    </row>
    <row r="26" spans="1:17" x14ac:dyDescent="0.25">
      <c r="A26" s="138"/>
      <c r="B26" s="138"/>
      <c r="C26" s="138"/>
      <c r="D26" s="138"/>
      <c r="E26" s="138"/>
      <c r="F26" s="138"/>
      <c r="G26" s="138"/>
      <c r="H26" s="138"/>
      <c r="I26" s="138"/>
      <c r="J26" s="138"/>
      <c r="K26" s="138"/>
      <c r="L26" s="138"/>
      <c r="M26" s="138"/>
      <c r="N26" s="138"/>
      <c r="O26" s="138"/>
      <c r="P26" s="138"/>
      <c r="Q26" s="138"/>
    </row>
    <row r="27" spans="1:17" x14ac:dyDescent="0.25">
      <c r="A27" s="138"/>
      <c r="B27" s="138"/>
      <c r="C27" s="138"/>
      <c r="D27" s="138"/>
      <c r="E27" s="138"/>
      <c r="F27" s="138"/>
      <c r="G27" s="138"/>
      <c r="H27" s="138"/>
      <c r="I27" s="138"/>
      <c r="J27" s="138"/>
      <c r="K27" s="138"/>
      <c r="L27" s="138"/>
      <c r="M27" s="138"/>
      <c r="N27" s="138"/>
      <c r="O27" s="138"/>
      <c r="P27" s="138"/>
      <c r="Q27" s="138"/>
    </row>
    <row r="28" spans="1:17" ht="18.75" x14ac:dyDescent="0.3">
      <c r="A28" s="129"/>
      <c r="B28" s="138"/>
      <c r="C28" s="138"/>
      <c r="D28" s="138"/>
      <c r="E28" s="131"/>
      <c r="F28" s="138"/>
      <c r="G28" s="138"/>
      <c r="H28" s="138"/>
      <c r="I28" s="138"/>
      <c r="J28" s="138"/>
      <c r="K28" s="138"/>
      <c r="L28" s="138"/>
      <c r="M28" s="138"/>
      <c r="N28" s="138"/>
      <c r="O28" s="138"/>
      <c r="P28" s="138"/>
      <c r="Q28" s="138"/>
    </row>
    <row r="29" spans="1:17" x14ac:dyDescent="0.25">
      <c r="A29" s="138"/>
      <c r="B29" s="138"/>
      <c r="C29" s="138"/>
      <c r="D29" s="138"/>
      <c r="E29" s="138"/>
      <c r="F29" s="138"/>
      <c r="G29" s="138"/>
      <c r="H29" s="138"/>
      <c r="I29" s="138"/>
      <c r="J29" s="138"/>
      <c r="K29" s="138"/>
      <c r="L29" s="138"/>
      <c r="M29" s="138"/>
      <c r="N29" s="138"/>
      <c r="O29" s="138"/>
      <c r="P29" s="138"/>
      <c r="Q29" s="138"/>
    </row>
    <row r="30" spans="1:17" x14ac:dyDescent="0.25">
      <c r="A30" s="138"/>
      <c r="B30" s="138"/>
      <c r="C30" s="138"/>
      <c r="D30" s="138"/>
      <c r="E30" s="138"/>
      <c r="F30" s="138"/>
      <c r="G30" s="138"/>
      <c r="H30" s="138"/>
      <c r="I30" s="138"/>
      <c r="J30" s="138"/>
      <c r="K30" s="138"/>
      <c r="L30" s="138"/>
      <c r="M30" s="138"/>
      <c r="N30" s="138"/>
      <c r="O30" s="138"/>
      <c r="P30" s="138"/>
      <c r="Q30" s="138"/>
    </row>
    <row r="31" spans="1:17" x14ac:dyDescent="0.25">
      <c r="A31" s="138"/>
      <c r="B31" s="138"/>
      <c r="C31" s="138"/>
      <c r="D31" s="138"/>
      <c r="E31" s="138"/>
      <c r="F31" s="138"/>
      <c r="G31" s="138"/>
      <c r="H31" s="138"/>
      <c r="I31" s="138"/>
      <c r="J31" s="138"/>
      <c r="K31" s="138"/>
      <c r="L31" s="138"/>
      <c r="M31" s="138"/>
      <c r="N31" s="138"/>
      <c r="O31" s="138"/>
      <c r="P31" s="138"/>
      <c r="Q31" s="138"/>
    </row>
    <row r="32" spans="1:17" x14ac:dyDescent="0.25">
      <c r="A32" s="138"/>
      <c r="B32" s="138"/>
      <c r="C32" s="138"/>
      <c r="D32" s="138"/>
      <c r="E32" s="138"/>
      <c r="F32" s="138"/>
      <c r="G32" s="138"/>
      <c r="H32" s="138"/>
      <c r="I32" s="138"/>
      <c r="J32" s="138"/>
      <c r="K32" s="138"/>
      <c r="L32" s="138"/>
      <c r="M32" s="138"/>
      <c r="N32" s="138"/>
      <c r="O32" s="138"/>
      <c r="P32" s="138"/>
      <c r="Q32" s="138"/>
    </row>
    <row r="33" spans="1:19" x14ac:dyDescent="0.25">
      <c r="A33" s="138"/>
      <c r="B33" s="138"/>
      <c r="C33" s="138"/>
      <c r="D33" s="138"/>
      <c r="E33" s="138"/>
      <c r="F33" s="138"/>
      <c r="G33" s="138"/>
      <c r="H33" s="138"/>
      <c r="I33" s="138"/>
      <c r="J33" s="138"/>
      <c r="K33" s="138"/>
      <c r="L33" s="138"/>
      <c r="M33" s="138"/>
      <c r="N33" s="138"/>
      <c r="O33" s="138"/>
      <c r="P33" s="138"/>
      <c r="Q33" s="138"/>
    </row>
    <row r="38" spans="1:19" x14ac:dyDescent="0.25">
      <c r="S38" s="140">
        <v>4</v>
      </c>
    </row>
    <row r="49" spans="2:14" x14ac:dyDescent="0.25">
      <c r="N49" s="140" t="s">
        <v>1049</v>
      </c>
    </row>
    <row r="53" spans="2:14" x14ac:dyDescent="0.25">
      <c r="B53" s="140" t="s">
        <v>1108</v>
      </c>
    </row>
    <row r="54" spans="2:14" x14ac:dyDescent="0.25">
      <c r="C54" s="140" t="s">
        <v>1051</v>
      </c>
    </row>
    <row r="55" spans="2:14" x14ac:dyDescent="0.25">
      <c r="B55" s="140" t="s">
        <v>1143</v>
      </c>
    </row>
    <row r="57" spans="2:14" x14ac:dyDescent="0.25">
      <c r="B57" s="140" t="s">
        <v>1144</v>
      </c>
    </row>
    <row r="59" spans="2:14" x14ac:dyDescent="0.25">
      <c r="B59" s="140" t="s">
        <v>1145</v>
      </c>
    </row>
  </sheetData>
  <dataValidations disablePrompts="1" count="1">
    <dataValidation type="list" allowBlank="1" showInputMessage="1" showErrorMessage="1" sqref="C15">
      <formula1>$E$15:$F$15</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28"/>
  <sheetViews>
    <sheetView showGridLines="0" showRowColHeaders="0" topLeftCell="A14" zoomScale="120" zoomScaleNormal="120" workbookViewId="0">
      <selection activeCell="B27" sqref="B27"/>
    </sheetView>
  </sheetViews>
  <sheetFormatPr defaultRowHeight="15" x14ac:dyDescent="0.25"/>
  <cols>
    <col min="1" max="1" width="44.28515625" style="140" customWidth="1"/>
    <col min="2" max="2" width="40.7109375" style="140" customWidth="1"/>
    <col min="3" max="7" width="2.85546875" style="140" customWidth="1"/>
    <col min="8" max="8" width="47" style="140" customWidth="1"/>
    <col min="9" max="11" width="9.140625" style="140"/>
    <col min="12" max="12" width="10.7109375" style="140" bestFit="1" customWidth="1"/>
    <col min="13" max="16384" width="9.140625" style="140"/>
  </cols>
  <sheetData>
    <row r="1" spans="1:19" ht="33.75" x14ac:dyDescent="0.5">
      <c r="A1" s="228" t="s">
        <v>1501</v>
      </c>
      <c r="B1" s="174">
        <f>(GOO+SER)*CRAP*REP*FREE*SEC*REC*ES*SHO*PHONE</f>
        <v>4.3250000000000002</v>
      </c>
      <c r="C1" s="138"/>
      <c r="D1" s="138"/>
      <c r="E1" s="138"/>
      <c r="F1" s="138"/>
      <c r="G1" s="138"/>
      <c r="H1" s="138"/>
    </row>
    <row r="2" spans="1:19" ht="18.75" x14ac:dyDescent="0.3">
      <c r="A2" s="138"/>
      <c r="B2" s="249" t="s">
        <v>1306</v>
      </c>
      <c r="C2" s="138"/>
      <c r="D2" s="138"/>
      <c r="E2" s="138"/>
      <c r="F2" s="138"/>
      <c r="G2" s="138"/>
      <c r="H2" s="138"/>
      <c r="L2" s="116">
        <f>(GOO+SER)*CRAP*REP*FREE*SEC*REC*ES*SHO*PHONE*CHA</f>
        <v>4.3250000000000002</v>
      </c>
    </row>
    <row r="3" spans="1:19" x14ac:dyDescent="0.25">
      <c r="A3" s="138"/>
      <c r="B3" s="138"/>
      <c r="C3" s="138"/>
      <c r="D3" s="138"/>
      <c r="E3" s="138"/>
      <c r="F3" s="138"/>
      <c r="G3" s="138"/>
      <c r="H3" s="138"/>
      <c r="L3" s="124" t="s">
        <v>1165</v>
      </c>
    </row>
    <row r="4" spans="1:19" x14ac:dyDescent="0.25">
      <c r="A4" s="138"/>
      <c r="B4" s="130" t="s">
        <v>1302</v>
      </c>
      <c r="C4" s="138"/>
      <c r="D4" s="138"/>
      <c r="E4" s="138"/>
      <c r="F4" s="138"/>
      <c r="G4" s="138"/>
      <c r="H4" s="138"/>
    </row>
    <row r="5" spans="1:19" x14ac:dyDescent="0.25">
      <c r="A5" s="138"/>
      <c r="B5" s="130" t="s">
        <v>1303</v>
      </c>
      <c r="C5" s="138"/>
      <c r="D5" s="138"/>
      <c r="E5" s="138"/>
      <c r="F5" s="138"/>
      <c r="G5" s="138"/>
      <c r="H5" s="138"/>
    </row>
    <row r="6" spans="1:19" x14ac:dyDescent="0.25">
      <c r="A6" s="138"/>
      <c r="B6" s="130" t="s">
        <v>1515</v>
      </c>
      <c r="C6" s="138"/>
      <c r="D6" s="138"/>
      <c r="E6" s="138"/>
      <c r="F6" s="138"/>
      <c r="G6" s="138"/>
      <c r="H6" s="138"/>
    </row>
    <row r="7" spans="1:19" x14ac:dyDescent="0.25">
      <c r="A7" s="138"/>
      <c r="B7" s="130"/>
      <c r="C7" s="138"/>
      <c r="D7" s="138"/>
      <c r="E7" s="138"/>
      <c r="F7" s="138"/>
      <c r="G7" s="138"/>
      <c r="H7" s="138"/>
    </row>
    <row r="8" spans="1:19" ht="21" x14ac:dyDescent="0.35">
      <c r="A8" s="138"/>
      <c r="B8" s="267" t="s">
        <v>1497</v>
      </c>
      <c r="C8" s="138"/>
      <c r="D8" s="138"/>
      <c r="E8" s="138"/>
      <c r="F8" s="138"/>
      <c r="G8" s="138"/>
      <c r="H8" s="138"/>
    </row>
    <row r="9" spans="1:19" x14ac:dyDescent="0.25">
      <c r="A9" s="138"/>
      <c r="B9" s="130" t="s">
        <v>1534</v>
      </c>
      <c r="C9" s="138"/>
      <c r="D9" s="138"/>
      <c r="E9" s="138"/>
      <c r="F9" s="138"/>
      <c r="G9" s="138"/>
      <c r="H9" s="138"/>
    </row>
    <row r="10" spans="1:19" x14ac:dyDescent="0.25">
      <c r="A10" s="138"/>
      <c r="B10" s="129" t="s">
        <v>1496</v>
      </c>
      <c r="C10" s="138"/>
      <c r="D10" s="138"/>
      <c r="E10" s="138"/>
      <c r="F10" s="138"/>
      <c r="G10" s="138"/>
      <c r="H10" s="138"/>
    </row>
    <row r="11" spans="1:19" ht="15.75" thickBot="1" x14ac:dyDescent="0.3">
      <c r="A11" s="138"/>
      <c r="B11" s="138"/>
      <c r="C11" s="138"/>
      <c r="D11" s="138"/>
      <c r="E11" s="138"/>
      <c r="F11" s="138"/>
      <c r="G11" s="138"/>
      <c r="H11" s="138"/>
    </row>
    <row r="12" spans="1:19" ht="21" customHeight="1" thickBot="1" x14ac:dyDescent="0.3">
      <c r="A12" s="138"/>
      <c r="B12" s="280" t="s">
        <v>1262</v>
      </c>
      <c r="C12" s="307"/>
      <c r="D12" s="307"/>
      <c r="E12" s="303"/>
      <c r="F12" s="302"/>
      <c r="G12" s="307"/>
      <c r="H12" s="138" t="s">
        <v>1263</v>
      </c>
    </row>
    <row r="13" spans="1:19" ht="21" customHeight="1" thickBot="1" x14ac:dyDescent="0.3">
      <c r="A13" s="138"/>
      <c r="B13" s="280" t="s">
        <v>1264</v>
      </c>
      <c r="C13" s="307"/>
      <c r="D13" s="307"/>
      <c r="E13" s="303"/>
      <c r="F13" s="302"/>
      <c r="G13" s="302"/>
      <c r="H13" s="304" t="s">
        <v>1406</v>
      </c>
    </row>
    <row r="14" spans="1:19" ht="21" customHeight="1" thickBot="1" x14ac:dyDescent="0.3">
      <c r="A14" s="138"/>
      <c r="B14" s="280" t="s">
        <v>1494</v>
      </c>
      <c r="C14" s="307"/>
      <c r="D14" s="302"/>
      <c r="E14" s="303"/>
      <c r="F14" s="307"/>
      <c r="G14" s="302"/>
      <c r="H14" s="138" t="s">
        <v>1410</v>
      </c>
    </row>
    <row r="15" spans="1:19" ht="21" customHeight="1" thickBot="1" x14ac:dyDescent="0.3">
      <c r="A15" s="138"/>
      <c r="B15" s="280" t="s">
        <v>1251</v>
      </c>
      <c r="C15" s="307"/>
      <c r="D15" s="302"/>
      <c r="E15" s="303"/>
      <c r="F15" s="307"/>
      <c r="G15" s="302"/>
      <c r="H15" s="138" t="s">
        <v>1495</v>
      </c>
      <c r="M15" s="140">
        <v>1.05</v>
      </c>
      <c r="N15" s="140">
        <v>1</v>
      </c>
      <c r="O15" s="140">
        <v>0.95</v>
      </c>
      <c r="P15" s="140">
        <v>0.9</v>
      </c>
      <c r="R15" s="283">
        <f>IF(C12="X",1.1,IF(D12="X",1.05,IF(F12="X",0.95,IF(G12="X",0.9,1))))</f>
        <v>1</v>
      </c>
      <c r="S15" s="74" t="s">
        <v>1272</v>
      </c>
    </row>
    <row r="16" spans="1:19" ht="21" customHeight="1" thickBot="1" x14ac:dyDescent="0.3">
      <c r="A16" s="138"/>
      <c r="B16" s="280" t="s">
        <v>1407</v>
      </c>
      <c r="C16" s="307"/>
      <c r="D16" s="307"/>
      <c r="E16" s="308"/>
      <c r="F16" s="302"/>
      <c r="G16" s="302"/>
      <c r="H16" s="138" t="s">
        <v>1408</v>
      </c>
      <c r="M16" s="140">
        <v>1.05</v>
      </c>
      <c r="N16" s="140">
        <v>1</v>
      </c>
      <c r="O16" s="140">
        <v>0.95</v>
      </c>
      <c r="P16" s="140">
        <v>0.9</v>
      </c>
      <c r="R16" s="283">
        <f>IF(C13="X",0.95,IF(D13="X",0.98,IF(F13="X",1.02,IF(G13="X",1.05,1))))</f>
        <v>1</v>
      </c>
      <c r="S16" s="74" t="s">
        <v>1265</v>
      </c>
    </row>
    <row r="17" spans="1:19" ht="21" customHeight="1" thickBot="1" x14ac:dyDescent="0.3">
      <c r="A17" s="138"/>
      <c r="B17" s="280" t="s">
        <v>1409</v>
      </c>
      <c r="C17" s="307"/>
      <c r="D17" s="302"/>
      <c r="E17" s="303"/>
      <c r="F17" s="307"/>
      <c r="G17" s="302"/>
      <c r="H17" s="304" t="s">
        <v>1360</v>
      </c>
      <c r="M17" s="140">
        <v>1.02</v>
      </c>
      <c r="N17" s="140">
        <v>1</v>
      </c>
      <c r="O17" s="140">
        <v>0.98</v>
      </c>
      <c r="P17" s="140">
        <v>0.95</v>
      </c>
      <c r="R17" s="283">
        <f>IF(C14="X",1.05,IF(D14="X",1.02,IF(F14="X",0.98,IF(G14="X",0.96,1))))</f>
        <v>1</v>
      </c>
      <c r="S17" s="140" t="s">
        <v>1418</v>
      </c>
    </row>
    <row r="18" spans="1:19" ht="21" customHeight="1" thickBot="1" x14ac:dyDescent="0.3">
      <c r="A18" s="138"/>
      <c r="B18" s="280" t="s">
        <v>1411</v>
      </c>
      <c r="C18" s="307"/>
      <c r="D18" s="302"/>
      <c r="E18" s="308"/>
      <c r="F18" s="307"/>
      <c r="G18" s="302"/>
      <c r="H18" s="138" t="s">
        <v>1412</v>
      </c>
      <c r="M18" s="140">
        <v>1.1000000000000001</v>
      </c>
      <c r="N18" s="140">
        <v>1</v>
      </c>
      <c r="O18" s="140">
        <v>0.95</v>
      </c>
      <c r="P18" s="140">
        <v>0.85</v>
      </c>
      <c r="R18" s="283">
        <f>IF(C15="X",1.05,IF(D15="X",1.02,IF(F15="X",0.95,IF(G15="X",0.9,1))))</f>
        <v>1</v>
      </c>
      <c r="S18" s="74" t="s">
        <v>1267</v>
      </c>
    </row>
    <row r="19" spans="1:19" ht="21" customHeight="1" thickBot="1" x14ac:dyDescent="0.3">
      <c r="A19" s="138"/>
      <c r="B19" s="280" t="s">
        <v>1413</v>
      </c>
      <c r="C19" s="307"/>
      <c r="D19" s="307"/>
      <c r="E19" s="303"/>
      <c r="F19" s="307"/>
      <c r="G19" s="302"/>
      <c r="H19" s="138" t="s">
        <v>1414</v>
      </c>
      <c r="M19" s="140">
        <v>1.02</v>
      </c>
      <c r="N19" s="140">
        <v>1</v>
      </c>
      <c r="O19" s="140">
        <v>0.97</v>
      </c>
      <c r="P19" s="140">
        <v>0.95</v>
      </c>
      <c r="R19" s="283">
        <f>IF(C16="X",1.05,IF(D16="X",1.02,IF(F16="X",0.95,IF(G16="X",0.9,1))))</f>
        <v>1</v>
      </c>
      <c r="S19" s="74" t="s">
        <v>1266</v>
      </c>
    </row>
    <row r="20" spans="1:19" ht="21" customHeight="1" thickBot="1" x14ac:dyDescent="0.3">
      <c r="A20" s="138"/>
      <c r="B20" s="280" t="s">
        <v>1415</v>
      </c>
      <c r="C20" s="307"/>
      <c r="D20" s="307"/>
      <c r="E20" s="308"/>
      <c r="F20" s="307"/>
      <c r="G20" s="307"/>
      <c r="H20" s="138" t="s">
        <v>1416</v>
      </c>
      <c r="M20" s="140">
        <v>1.02</v>
      </c>
      <c r="N20" s="140">
        <v>1</v>
      </c>
      <c r="O20" s="140">
        <v>0.98</v>
      </c>
      <c r="P20" s="140">
        <v>0.95</v>
      </c>
      <c r="R20" s="283">
        <f>IF(C17="X",0.95,IF(D17="X",0.97,IF(F17="X",1.02,IF(G17="X",1.1,1))))</f>
        <v>1</v>
      </c>
      <c r="S20" s="74" t="s">
        <v>1268</v>
      </c>
    </row>
    <row r="21" spans="1:19" ht="18.75" customHeight="1" x14ac:dyDescent="0.25">
      <c r="A21" s="138"/>
      <c r="B21" s="138"/>
      <c r="C21" s="129"/>
      <c r="D21" s="138"/>
      <c r="E21" s="138"/>
      <c r="F21" s="138"/>
      <c r="G21" s="138"/>
      <c r="H21" s="138"/>
      <c r="M21" s="140">
        <v>1.03</v>
      </c>
      <c r="N21" s="140">
        <v>1</v>
      </c>
      <c r="O21" s="140">
        <v>0.98</v>
      </c>
      <c r="P21" s="140">
        <v>0.95</v>
      </c>
      <c r="R21" s="283">
        <f>IF(C18="X",1.1,IF(D18="X",1.05,IF(F18="X",0.95,IF(G18="X",0.9,1))))</f>
        <v>1</v>
      </c>
      <c r="S21" s="74" t="s">
        <v>1269</v>
      </c>
    </row>
    <row r="22" spans="1:19" ht="33.75" customHeight="1" x14ac:dyDescent="0.25">
      <c r="A22" s="138"/>
      <c r="B22" s="138"/>
      <c r="C22" s="138"/>
      <c r="D22" s="138"/>
      <c r="E22" s="138"/>
      <c r="F22" s="138"/>
      <c r="G22" s="138"/>
      <c r="H22" s="138"/>
      <c r="M22" s="140">
        <v>1.1000000000000001</v>
      </c>
      <c r="N22" s="140">
        <v>1</v>
      </c>
      <c r="O22" s="140">
        <v>0.9</v>
      </c>
      <c r="P22" s="140">
        <v>0.85</v>
      </c>
      <c r="R22" s="283">
        <f>IF(C19="X",1.1,IF(D19="X",1.05,IF(F19="X",0.97,IF(G19="X",0.94,1))))</f>
        <v>1</v>
      </c>
      <c r="S22" s="74" t="s">
        <v>1270</v>
      </c>
    </row>
    <row r="23" spans="1:19" x14ac:dyDescent="0.25">
      <c r="M23" s="140">
        <v>1.02</v>
      </c>
      <c r="N23" s="140">
        <v>1</v>
      </c>
      <c r="O23" s="140">
        <v>0.98</v>
      </c>
      <c r="P23" s="140">
        <v>0.95</v>
      </c>
      <c r="R23" s="283">
        <f>IF(C20="X",0.95,IF(D20="X",0.98,IF(F20="X",1.02,IF(G20="X",1.5,1))))</f>
        <v>1</v>
      </c>
      <c r="S23" s="74" t="s">
        <v>1417</v>
      </c>
    </row>
    <row r="24" spans="1:19" x14ac:dyDescent="0.25">
      <c r="B24" s="150"/>
      <c r="C24" s="277"/>
      <c r="D24" s="277"/>
      <c r="E24" s="277"/>
      <c r="F24" s="277"/>
      <c r="G24" s="277"/>
      <c r="H24" s="143"/>
      <c r="O24" s="143"/>
      <c r="Q24" s="143"/>
      <c r="R24" s="86"/>
    </row>
    <row r="25" spans="1:19" x14ac:dyDescent="0.25">
      <c r="C25" s="277"/>
      <c r="D25" s="277"/>
      <c r="E25" s="277"/>
      <c r="F25" s="277"/>
      <c r="G25" s="277"/>
      <c r="O25" s="143"/>
    </row>
    <row r="27" spans="1:19" x14ac:dyDescent="0.25">
      <c r="C27" s="143"/>
      <c r="M27" s="283">
        <f>INCSCORE*0.085+0.7</f>
        <v>2.8250000000000002</v>
      </c>
      <c r="N27" s="283">
        <f>INCSCORE*0.04+0.5</f>
        <v>1.5</v>
      </c>
    </row>
    <row r="28" spans="1:19" x14ac:dyDescent="0.25">
      <c r="M28" s="140" t="s">
        <v>1273</v>
      </c>
      <c r="N28" s="140" t="s">
        <v>1274</v>
      </c>
    </row>
  </sheetData>
  <pageMargins left="0.7" right="0.7" top="0.75" bottom="0.75" header="0.3" footer="0.3"/>
  <pageSetup paperSize="9"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Z67"/>
  <sheetViews>
    <sheetView showGridLines="0" showRowColHeaders="0" topLeftCell="A5" zoomScale="120" zoomScaleNormal="120" workbookViewId="0">
      <selection activeCell="C20" sqref="C20"/>
    </sheetView>
  </sheetViews>
  <sheetFormatPr defaultRowHeight="15" x14ac:dyDescent="0.25"/>
  <cols>
    <col min="1" max="1" width="44.28515625" style="140" customWidth="1"/>
    <col min="2" max="2" width="9.5703125" style="140" customWidth="1"/>
    <col min="3" max="3" width="28.5703125" style="140" customWidth="1"/>
    <col min="4" max="6" width="14.28515625" style="140" customWidth="1"/>
    <col min="7" max="7" width="21.28515625" style="140" customWidth="1"/>
    <col min="8" max="16384" width="9.140625" style="140"/>
  </cols>
  <sheetData>
    <row r="1" spans="1:26" ht="33.75" customHeight="1" x14ac:dyDescent="0.5">
      <c r="A1" s="228" t="s">
        <v>1533</v>
      </c>
      <c r="B1" s="138"/>
      <c r="C1" s="139"/>
      <c r="D1" s="138"/>
      <c r="E1" s="138"/>
      <c r="F1" s="138"/>
      <c r="G1" s="138"/>
    </row>
    <row r="2" spans="1:26" ht="83.25" customHeight="1" thickBot="1" x14ac:dyDescent="0.3">
      <c r="A2" s="132"/>
      <c r="B2" s="138"/>
      <c r="C2" s="141" t="s">
        <v>1435</v>
      </c>
      <c r="D2" s="142" t="s">
        <v>1436</v>
      </c>
      <c r="E2" s="319" t="s">
        <v>1437</v>
      </c>
      <c r="F2" s="320"/>
      <c r="G2" s="138"/>
    </row>
    <row r="3" spans="1:26" ht="33" thickTop="1" thickBot="1" x14ac:dyDescent="0.3">
      <c r="A3" s="138"/>
      <c r="B3" s="138"/>
      <c r="C3" s="310">
        <f>PFP</f>
        <v>13.109326782608695</v>
      </c>
      <c r="D3" s="138"/>
      <c r="E3" s="321">
        <v>15.9</v>
      </c>
      <c r="F3" s="322"/>
      <c r="G3" s="138"/>
      <c r="H3" s="143"/>
      <c r="I3" s="143"/>
      <c r="J3" s="143"/>
      <c r="K3" s="143"/>
      <c r="L3" s="143"/>
      <c r="M3" s="143"/>
      <c r="N3" s="143"/>
    </row>
    <row r="4" spans="1:26" ht="15.75" thickTop="1" x14ac:dyDescent="0.25">
      <c r="A4" s="138"/>
      <c r="B4" s="138"/>
      <c r="C4" s="144" t="s">
        <v>1114</v>
      </c>
      <c r="D4" s="138"/>
      <c r="E4" s="323" t="s">
        <v>1114</v>
      </c>
      <c r="F4" s="320"/>
      <c r="G4" s="138"/>
      <c r="H4" s="143"/>
      <c r="I4" s="143"/>
      <c r="J4" s="143"/>
      <c r="K4" s="143"/>
      <c r="L4" s="143"/>
      <c r="M4" s="143"/>
      <c r="N4" s="143"/>
    </row>
    <row r="5" spans="1:26" ht="38.25" customHeight="1" thickBot="1" x14ac:dyDescent="0.3">
      <c r="A5" s="138"/>
      <c r="B5" s="138"/>
      <c r="C5" s="138"/>
      <c r="D5" s="145" t="s">
        <v>1050</v>
      </c>
      <c r="E5" s="145" t="s">
        <v>95</v>
      </c>
      <c r="F5" s="138"/>
      <c r="G5" s="138"/>
      <c r="H5" s="143"/>
      <c r="I5" s="143"/>
      <c r="J5" s="143"/>
      <c r="K5" s="143"/>
      <c r="L5" s="143"/>
      <c r="M5" s="143"/>
      <c r="N5" s="143"/>
    </row>
    <row r="6" spans="1:26" ht="20.25" thickTop="1" thickBot="1" x14ac:dyDescent="0.3">
      <c r="A6" s="138"/>
      <c r="B6" s="127" t="s">
        <v>109</v>
      </c>
      <c r="C6" s="146" t="s">
        <v>201</v>
      </c>
      <c r="D6" s="311">
        <f>(SHPERCAP+WHPERCAP+APPERCAP)*(100-DECARB*0.9-DECARBW*0.1)/100</f>
        <v>2.4424325217391307</v>
      </c>
      <c r="E6" s="311">
        <v>2.4700000000000002</v>
      </c>
      <c r="F6" s="138"/>
      <c r="G6" s="138"/>
      <c r="H6" s="147"/>
      <c r="I6" s="143"/>
      <c r="J6" s="143"/>
      <c r="K6" s="143"/>
      <c r="L6" s="143"/>
      <c r="M6" s="143"/>
      <c r="N6" s="143"/>
      <c r="S6" s="148" t="s">
        <v>638</v>
      </c>
      <c r="T6" s="149">
        <f>PUBVAL1</f>
        <v>2.6223939165600409</v>
      </c>
      <c r="U6" s="149">
        <f>PUBVAL1</f>
        <v>2.6223939165600409</v>
      </c>
      <c r="V6" s="149">
        <f>X6/2.3</f>
        <v>2.6304347826086958</v>
      </c>
      <c r="W6" s="149">
        <f t="shared" ref="W6:W17" si="0">U6/15.9*100</f>
        <v>16.493043500377617</v>
      </c>
      <c r="X6" s="140">
        <v>6.05</v>
      </c>
    </row>
    <row r="7" spans="1:26" ht="20.25" thickTop="1" thickBot="1" x14ac:dyDescent="0.3">
      <c r="A7" s="138"/>
      <c r="B7" s="127" t="s">
        <v>1431</v>
      </c>
      <c r="C7" s="146" t="s">
        <v>1275</v>
      </c>
      <c r="D7" s="311">
        <f>(TRAFUEL2*(100-DECARB*0.9-DECARBW*0.1)/100)+(PANDM2*(100-DECARB*0.5-DECARBW*0.5)/100)+(PUBT2*(100-DECARB*0.8-DECARBW*0.2)/100)</f>
        <v>2.4538434782608691</v>
      </c>
      <c r="E7" s="311">
        <v>2.59</v>
      </c>
      <c r="F7" s="138"/>
      <c r="G7" s="138"/>
      <c r="H7" s="150"/>
      <c r="I7" s="143"/>
      <c r="J7" s="143"/>
      <c r="K7" s="143"/>
      <c r="L7" s="143"/>
      <c r="M7" s="143"/>
      <c r="N7" s="143"/>
      <c r="S7" s="148" t="s">
        <v>639</v>
      </c>
      <c r="U7" s="149">
        <f>BSPERCAP</f>
        <v>1.6442582438798368</v>
      </c>
      <c r="V7" s="149">
        <f>X7/2.3</f>
        <v>1.5869565217391306</v>
      </c>
      <c r="W7" s="149">
        <f t="shared" si="0"/>
        <v>10.341246816854319</v>
      </c>
      <c r="X7" s="140">
        <v>3.65</v>
      </c>
    </row>
    <row r="8" spans="1:26" ht="20.25" thickTop="1" thickBot="1" x14ac:dyDescent="0.3">
      <c r="A8" s="138"/>
      <c r="B8" s="127" t="s">
        <v>1432</v>
      </c>
      <c r="C8" s="146" t="s">
        <v>740</v>
      </c>
      <c r="D8" s="311">
        <f>FLYEMPERCAP/mult2*(100-(DECARB)*0.9-(DECARBW)*0.1)/100+(FLYEMPERCAP-FLYEMPERCAP/mult2)</f>
        <v>0.79799999999999993</v>
      </c>
      <c r="E8" s="311">
        <v>0.78</v>
      </c>
      <c r="F8" s="138"/>
      <c r="G8" s="138"/>
      <c r="H8" s="143"/>
      <c r="I8" s="143"/>
      <c r="J8" s="143"/>
      <c r="K8" s="143"/>
      <c r="L8" s="143"/>
      <c r="M8" s="143"/>
      <c r="N8" s="143"/>
      <c r="S8" s="148" t="s">
        <v>88</v>
      </c>
      <c r="U8" s="149" t="e">
        <f>WASTEPERCAP</f>
        <v>#REF!</v>
      </c>
      <c r="V8" s="140">
        <v>0.33</v>
      </c>
      <c r="W8" s="149" t="e">
        <f t="shared" si="0"/>
        <v>#REF!</v>
      </c>
      <c r="X8" s="140">
        <v>0.76</v>
      </c>
    </row>
    <row r="9" spans="1:26" ht="20.25" thickTop="1" thickBot="1" x14ac:dyDescent="0.3">
      <c r="A9" s="138"/>
      <c r="B9" s="126" t="s">
        <v>1438</v>
      </c>
      <c r="C9" s="146" t="s">
        <v>39</v>
      </c>
      <c r="D9" s="311">
        <f>FOODPERCAP*(100-DECARB*0.4-DECARBW*0.1)/100</f>
        <v>0.4596159999999998</v>
      </c>
      <c r="E9" s="311">
        <v>3.05</v>
      </c>
      <c r="F9" s="138"/>
      <c r="G9" s="138"/>
      <c r="H9" s="143"/>
      <c r="I9" s="143"/>
      <c r="J9" s="143"/>
      <c r="K9" s="143"/>
      <c r="L9" s="143"/>
      <c r="M9" s="143"/>
      <c r="N9" s="143"/>
      <c r="S9" s="148" t="s">
        <v>1047</v>
      </c>
      <c r="U9" s="149" t="e">
        <f>PROCPERCAP</f>
        <v>#REF!</v>
      </c>
      <c r="V9" s="149">
        <v>1.05</v>
      </c>
      <c r="W9" s="149" t="e">
        <f t="shared" si="0"/>
        <v>#REF!</v>
      </c>
      <c r="X9" s="140">
        <v>2.41</v>
      </c>
    </row>
    <row r="10" spans="1:26" ht="20.25" thickTop="1" thickBot="1" x14ac:dyDescent="0.3">
      <c r="A10" s="138"/>
      <c r="B10" s="126" t="s">
        <v>605</v>
      </c>
      <c r="C10" s="146" t="s">
        <v>604</v>
      </c>
      <c r="D10" s="311">
        <f>(STUFF*(100-0.3*DECARB-0.6*DECARBW)/100)</f>
        <v>4.3250000000000002</v>
      </c>
      <c r="E10" s="311">
        <v>4.34</v>
      </c>
      <c r="F10" s="138"/>
      <c r="G10" s="138"/>
      <c r="H10" s="143"/>
      <c r="I10" s="143"/>
      <c r="J10" s="143"/>
      <c r="K10" s="143"/>
      <c r="L10" s="143"/>
      <c r="M10" s="143"/>
      <c r="N10" s="143"/>
      <c r="O10" s="143"/>
      <c r="S10" s="148" t="s">
        <v>75</v>
      </c>
      <c r="U10" s="149">
        <f>FARMPERCAP</f>
        <v>0</v>
      </c>
      <c r="V10" s="149">
        <v>1.62</v>
      </c>
      <c r="W10" s="149">
        <f t="shared" si="0"/>
        <v>0</v>
      </c>
      <c r="X10" s="140">
        <v>3.74</v>
      </c>
      <c r="Z10" s="140">
        <v>0.73043478260869565</v>
      </c>
    </row>
    <row r="11" spans="1:26" ht="20.25" thickTop="1" thickBot="1" x14ac:dyDescent="0.3">
      <c r="A11" s="138"/>
      <c r="B11" s="126" t="s">
        <v>1433</v>
      </c>
      <c r="C11" s="146" t="s">
        <v>52</v>
      </c>
      <c r="D11" s="311">
        <f>AVPUB*(100-DECARB*0.9-DECARBW*0.1)/100</f>
        <v>2.6304347826086958</v>
      </c>
      <c r="E11" s="311">
        <v>2.6304347826086958</v>
      </c>
      <c r="F11" s="138"/>
      <c r="G11" s="138"/>
      <c r="H11" s="143"/>
      <c r="I11" s="143"/>
      <c r="J11" s="143"/>
      <c r="K11" s="143"/>
      <c r="L11" s="143"/>
      <c r="M11" s="143"/>
      <c r="N11" s="143"/>
      <c r="S11" s="148" t="s">
        <v>637</v>
      </c>
      <c r="U11" s="149">
        <f>X11/2.3</f>
        <v>0.78260869565217395</v>
      </c>
      <c r="V11" s="149">
        <f t="shared" ref="V11:V17" si="1">X11/2.3</f>
        <v>0.78260869565217395</v>
      </c>
      <c r="W11" s="149">
        <f t="shared" si="0"/>
        <v>4.9220672682526656</v>
      </c>
      <c r="X11" s="140">
        <v>1.8</v>
      </c>
      <c r="Z11" s="140">
        <v>1.4347826086956521</v>
      </c>
    </row>
    <row r="12" spans="1:26" ht="20.25" thickTop="1" thickBot="1" x14ac:dyDescent="0.3">
      <c r="A12" s="138"/>
      <c r="B12" s="126" t="s">
        <v>1434</v>
      </c>
      <c r="C12" s="146" t="s">
        <v>1276</v>
      </c>
      <c r="D12" s="311">
        <f>-SEQUCRED+NEGVAL</f>
        <v>0</v>
      </c>
      <c r="E12" s="311">
        <v>0</v>
      </c>
      <c r="F12" s="138"/>
      <c r="G12" s="138"/>
      <c r="H12" s="143"/>
      <c r="I12" s="143"/>
      <c r="J12" s="143"/>
      <c r="K12" s="143"/>
      <c r="L12" s="143"/>
      <c r="M12" s="143"/>
      <c r="N12" s="143"/>
      <c r="O12" s="143" t="s">
        <v>1277</v>
      </c>
      <c r="S12" s="148" t="s">
        <v>1045</v>
      </c>
      <c r="U12" s="149">
        <f>PUBT2</f>
        <v>0.6</v>
      </c>
      <c r="V12" s="149">
        <f t="shared" si="1"/>
        <v>0.43043478260869567</v>
      </c>
      <c r="W12" s="149">
        <f t="shared" si="0"/>
        <v>3.7735849056603774</v>
      </c>
      <c r="X12" s="140">
        <v>0.99</v>
      </c>
    </row>
    <row r="13" spans="1:26" ht="3.75" customHeight="1" thickTop="1" thickBot="1" x14ac:dyDescent="0.3">
      <c r="A13" s="138"/>
      <c r="B13" s="138"/>
      <c r="C13" s="138"/>
      <c r="D13" s="138"/>
      <c r="E13" s="138"/>
      <c r="F13" s="138"/>
      <c r="G13" s="138"/>
      <c r="H13" s="143"/>
      <c r="I13" s="143"/>
      <c r="J13" s="143"/>
      <c r="K13" s="143"/>
      <c r="L13" s="143"/>
      <c r="M13" s="143"/>
      <c r="N13" s="143"/>
      <c r="O13" s="147" t="s">
        <v>1278</v>
      </c>
      <c r="S13" s="148" t="s">
        <v>1046</v>
      </c>
      <c r="U13" s="149">
        <f>PANDM2</f>
        <v>0.30897391304347827</v>
      </c>
      <c r="V13" s="149">
        <f t="shared" si="1"/>
        <v>0.72173913043478266</v>
      </c>
      <c r="W13" s="149">
        <f t="shared" si="0"/>
        <v>1.9432321575061524</v>
      </c>
      <c r="X13" s="140">
        <v>1.66</v>
      </c>
      <c r="Z13" s="140">
        <v>0.72173913043478266</v>
      </c>
    </row>
    <row r="14" spans="1:26" ht="26.25" customHeight="1" thickTop="1" thickBot="1" x14ac:dyDescent="0.3">
      <c r="A14" s="138"/>
      <c r="B14" s="138"/>
      <c r="C14" s="146" t="s">
        <v>268</v>
      </c>
      <c r="D14" s="312">
        <f>SUM(D6:D12)</f>
        <v>13.109326782608695</v>
      </c>
      <c r="E14" s="312">
        <f>SUM(E6:E12)</f>
        <v>15.860434782608696</v>
      </c>
      <c r="F14" s="138"/>
      <c r="G14" s="138"/>
      <c r="H14" s="143"/>
      <c r="I14" s="143"/>
      <c r="J14" s="143"/>
      <c r="K14" s="143"/>
      <c r="L14" s="143"/>
      <c r="M14" s="143"/>
      <c r="N14" s="143"/>
      <c r="O14" s="143" t="s">
        <v>1279</v>
      </c>
      <c r="S14" s="148" t="s">
        <v>92</v>
      </c>
      <c r="U14" s="149">
        <f>TRAFUEL2</f>
        <v>1.5448695652173912</v>
      </c>
      <c r="V14" s="149">
        <f t="shared" si="1"/>
        <v>1.4347826086956521</v>
      </c>
      <c r="W14" s="149">
        <f t="shared" si="0"/>
        <v>9.716160787530761</v>
      </c>
      <c r="X14" s="140">
        <v>3.3</v>
      </c>
      <c r="Z14" s="140">
        <v>0.43043478260869567</v>
      </c>
    </row>
    <row r="15" spans="1:26" ht="15.75" thickTop="1" x14ac:dyDescent="0.25">
      <c r="A15" s="138"/>
      <c r="B15" s="138"/>
      <c r="C15" s="151"/>
      <c r="D15" s="138"/>
      <c r="E15" s="138"/>
      <c r="F15" s="138"/>
      <c r="G15" s="138"/>
      <c r="H15" s="143"/>
      <c r="I15" s="143"/>
      <c r="J15" s="143"/>
      <c r="K15" s="143"/>
      <c r="L15" s="143"/>
      <c r="M15" s="143"/>
      <c r="N15" s="143"/>
      <c r="O15" s="147" t="s">
        <v>1280</v>
      </c>
      <c r="S15" s="148" t="s">
        <v>90</v>
      </c>
      <c r="U15" s="149">
        <f>APPERCAP</f>
        <v>0.72608695652173927</v>
      </c>
      <c r="V15" s="149">
        <f t="shared" si="1"/>
        <v>0.73043478260869565</v>
      </c>
      <c r="W15" s="149">
        <f t="shared" si="0"/>
        <v>4.5665846322121961</v>
      </c>
      <c r="X15" s="140">
        <v>1.68</v>
      </c>
      <c r="Z15" s="140">
        <v>0.78260869565217395</v>
      </c>
    </row>
    <row r="16" spans="1:26" x14ac:dyDescent="0.25">
      <c r="A16" s="138"/>
      <c r="B16" s="138"/>
      <c r="C16" s="138" t="s">
        <v>1448</v>
      </c>
      <c r="D16" s="138"/>
      <c r="E16" s="138"/>
      <c r="F16" s="138"/>
      <c r="G16" s="138"/>
      <c r="H16" s="143"/>
      <c r="I16" s="143"/>
      <c r="J16" s="143"/>
      <c r="K16" s="143"/>
      <c r="L16" s="143"/>
      <c r="M16" s="143"/>
      <c r="N16" s="143"/>
      <c r="O16" s="147" t="s">
        <v>1281</v>
      </c>
      <c r="S16" s="148" t="s">
        <v>89</v>
      </c>
      <c r="U16" s="149">
        <f>WHPERCAP</f>
        <v>0.42125599999999996</v>
      </c>
      <c r="V16" s="149">
        <f t="shared" si="1"/>
        <v>0.43478260869565222</v>
      </c>
      <c r="W16" s="149">
        <f t="shared" si="0"/>
        <v>2.6494088050314462</v>
      </c>
      <c r="X16" s="140">
        <v>1</v>
      </c>
      <c r="Z16" s="140">
        <v>1.6260869565217393</v>
      </c>
    </row>
    <row r="17" spans="1:26" x14ac:dyDescent="0.25">
      <c r="A17" s="138"/>
      <c r="B17" s="138"/>
      <c r="C17" s="138"/>
      <c r="D17" s="138"/>
      <c r="E17" s="138"/>
      <c r="F17" s="138"/>
      <c r="G17" s="138"/>
      <c r="H17" s="143"/>
      <c r="I17" s="143"/>
      <c r="J17" s="143"/>
      <c r="K17" s="143"/>
      <c r="L17" s="143"/>
      <c r="M17" s="143"/>
      <c r="N17" s="143"/>
      <c r="O17" s="147" t="s">
        <v>1282</v>
      </c>
      <c r="S17" s="148" t="s">
        <v>91</v>
      </c>
      <c r="U17" s="149">
        <f>SHPERCAP</f>
        <v>1.2950895652173917</v>
      </c>
      <c r="V17" s="149">
        <f t="shared" si="1"/>
        <v>1.3043478260869565</v>
      </c>
      <c r="W17" s="149">
        <f t="shared" si="0"/>
        <v>8.1452173913043513</v>
      </c>
      <c r="X17" s="140">
        <v>3</v>
      </c>
      <c r="Z17" s="140">
        <v>1.0478260869565219</v>
      </c>
    </row>
    <row r="18" spans="1:26" x14ac:dyDescent="0.25">
      <c r="A18" s="143"/>
      <c r="G18" s="143"/>
      <c r="H18" s="143"/>
      <c r="I18" s="143"/>
      <c r="J18" s="143"/>
      <c r="K18" s="143"/>
      <c r="L18" s="143"/>
      <c r="M18" s="143"/>
      <c r="N18" s="143"/>
      <c r="Z18" s="140">
        <v>0.33043478260869569</v>
      </c>
    </row>
    <row r="19" spans="1:26" x14ac:dyDescent="0.25">
      <c r="A19" s="143"/>
      <c r="C19" s="143"/>
      <c r="D19" s="143"/>
      <c r="E19" s="143"/>
      <c r="F19" s="143"/>
      <c r="G19" s="143"/>
      <c r="H19" s="143"/>
      <c r="I19" s="143"/>
      <c r="J19" s="143"/>
      <c r="K19" s="143"/>
      <c r="L19" s="143"/>
      <c r="M19" s="143"/>
      <c r="N19" s="143"/>
      <c r="W19" s="149" t="e">
        <f>SUM(W6:W18)</f>
        <v>#REF!</v>
      </c>
      <c r="X19" s="149">
        <f>SUM(X6:X18)</f>
        <v>30.04</v>
      </c>
      <c r="Z19" s="140">
        <v>1.1043478260869566</v>
      </c>
    </row>
    <row r="20" spans="1:26" ht="18.75" x14ac:dyDescent="0.3">
      <c r="A20" s="143"/>
      <c r="B20" s="117"/>
      <c r="C20" s="150"/>
      <c r="D20" s="143"/>
      <c r="E20" s="147"/>
      <c r="F20" s="143"/>
      <c r="G20" s="143"/>
      <c r="H20" s="143"/>
      <c r="I20" s="143"/>
      <c r="J20" s="143"/>
      <c r="K20" s="143"/>
      <c r="L20" s="143"/>
      <c r="M20" s="143"/>
      <c r="N20" s="143"/>
      <c r="Z20" s="140">
        <v>1.7043478260869567</v>
      </c>
    </row>
    <row r="21" spans="1:26" ht="18.75" x14ac:dyDescent="0.3">
      <c r="A21" s="143"/>
      <c r="B21" s="117"/>
      <c r="G21" s="147"/>
      <c r="H21" s="143"/>
      <c r="I21" s="143"/>
      <c r="J21" s="143"/>
      <c r="K21" s="143"/>
      <c r="L21" s="143"/>
      <c r="M21" s="147"/>
      <c r="N21" s="147"/>
      <c r="X21" s="149">
        <f>X18/2.3</f>
        <v>0</v>
      </c>
      <c r="Z21" s="140">
        <v>1.5869565217391306</v>
      </c>
    </row>
    <row r="22" spans="1:26" x14ac:dyDescent="0.25">
      <c r="A22" s="143"/>
      <c r="B22" s="143"/>
      <c r="C22" s="150"/>
      <c r="D22" s="143"/>
      <c r="E22" s="143"/>
      <c r="F22" s="143"/>
      <c r="G22" s="147"/>
      <c r="H22" s="143"/>
      <c r="I22" s="143"/>
      <c r="J22" s="143"/>
      <c r="K22" s="143"/>
      <c r="L22" s="143"/>
      <c r="M22" s="143"/>
      <c r="N22" s="143"/>
      <c r="Q22" s="140" t="s">
        <v>53</v>
      </c>
      <c r="X22" s="149">
        <f>X19/2.3</f>
        <v>13.060869565217391</v>
      </c>
      <c r="Z22" s="140">
        <v>2.6304347826086958</v>
      </c>
    </row>
    <row r="23" spans="1:26" x14ac:dyDescent="0.25">
      <c r="A23" s="143"/>
      <c r="B23" s="143"/>
      <c r="C23" s="150"/>
      <c r="D23" s="143"/>
      <c r="E23" s="147"/>
      <c r="F23" s="143"/>
      <c r="G23" s="147"/>
      <c r="H23" s="143"/>
      <c r="I23" s="143"/>
      <c r="J23" s="143"/>
      <c r="K23" s="143"/>
      <c r="L23" s="143"/>
      <c r="M23" s="143"/>
      <c r="N23" s="143"/>
      <c r="Q23" s="140" t="s">
        <v>1026</v>
      </c>
      <c r="R23" s="140" t="s">
        <v>137</v>
      </c>
      <c r="X23" s="149">
        <f>U23/2.3</f>
        <v>0</v>
      </c>
      <c r="Z23" s="140">
        <v>15.869565217391306</v>
      </c>
    </row>
    <row r="24" spans="1:26" x14ac:dyDescent="0.25">
      <c r="A24" s="143"/>
      <c r="B24" s="143"/>
      <c r="C24" s="150"/>
      <c r="D24" s="143"/>
      <c r="E24" s="147"/>
      <c r="F24" s="143"/>
      <c r="G24" s="147"/>
      <c r="H24" s="143"/>
      <c r="I24" s="143"/>
      <c r="J24" s="143"/>
      <c r="K24" s="143"/>
      <c r="L24" s="143"/>
      <c r="M24" s="143"/>
      <c r="N24" s="143"/>
      <c r="P24" s="148" t="s">
        <v>1025</v>
      </c>
      <c r="Q24" s="149">
        <f>PUBVAL1</f>
        <v>2.6223939165600409</v>
      </c>
      <c r="R24" s="140">
        <v>2.63</v>
      </c>
      <c r="S24" s="140" t="s">
        <v>229</v>
      </c>
      <c r="X24" s="149">
        <f>SUM(X20:X23)</f>
        <v>13.060869565217391</v>
      </c>
    </row>
    <row r="25" spans="1:26" x14ac:dyDescent="0.25">
      <c r="A25" s="143"/>
      <c r="B25" s="143"/>
      <c r="C25" s="150"/>
      <c r="D25" s="143"/>
      <c r="E25" s="143"/>
      <c r="F25" s="143"/>
      <c r="G25" s="147"/>
      <c r="H25" s="143"/>
      <c r="I25" s="143"/>
      <c r="J25" s="143"/>
      <c r="K25" s="143"/>
      <c r="L25" s="143"/>
      <c r="M25" s="143"/>
      <c r="N25" s="143"/>
      <c r="S25" s="140" t="s">
        <v>787</v>
      </c>
    </row>
    <row r="26" spans="1:26" x14ac:dyDescent="0.25">
      <c r="A26" s="143"/>
      <c r="B26" s="143"/>
      <c r="C26" s="143"/>
      <c r="D26" s="143"/>
      <c r="E26" s="143"/>
      <c r="F26" s="143"/>
      <c r="G26" s="143"/>
      <c r="H26" s="143"/>
      <c r="I26" s="143"/>
      <c r="J26" s="143"/>
      <c r="K26" s="143"/>
      <c r="L26" s="143"/>
      <c r="M26" s="143"/>
      <c r="N26" s="143"/>
      <c r="S26" s="140" t="s">
        <v>763</v>
      </c>
    </row>
    <row r="27" spans="1:26" x14ac:dyDescent="0.25">
      <c r="A27" s="143"/>
      <c r="B27" s="143"/>
      <c r="C27" s="143"/>
      <c r="D27" s="143"/>
      <c r="E27" s="143"/>
      <c r="F27" s="143"/>
      <c r="G27" s="143"/>
      <c r="H27" s="143"/>
      <c r="I27" s="143"/>
      <c r="J27" s="143"/>
      <c r="K27" s="143"/>
      <c r="L27" s="143"/>
      <c r="M27" s="143"/>
      <c r="N27" s="143"/>
      <c r="S27" s="140" t="s">
        <v>749</v>
      </c>
    </row>
    <row r="28" spans="1:26" ht="104.25" customHeight="1" x14ac:dyDescent="0.25">
      <c r="A28" s="143"/>
      <c r="B28" s="143"/>
      <c r="C28" s="143"/>
      <c r="D28" s="143"/>
      <c r="E28" s="143"/>
      <c r="F28" s="143"/>
      <c r="G28" s="143"/>
      <c r="H28" s="143"/>
      <c r="I28" s="143"/>
      <c r="J28" s="143"/>
      <c r="K28" s="143"/>
      <c r="L28" s="143"/>
      <c r="M28" s="143"/>
      <c r="N28" s="143"/>
      <c r="S28" s="140" t="s">
        <v>1024</v>
      </c>
    </row>
    <row r="29" spans="1:26" x14ac:dyDescent="0.25">
      <c r="A29" s="143"/>
      <c r="B29" s="143" t="s">
        <v>1095</v>
      </c>
      <c r="C29" s="143"/>
      <c r="D29" s="143"/>
      <c r="E29" s="143"/>
      <c r="F29" s="143"/>
      <c r="G29" s="143"/>
      <c r="H29" s="143"/>
      <c r="I29" s="143"/>
      <c r="J29" s="143"/>
      <c r="K29" s="143"/>
      <c r="L29" s="143"/>
      <c r="M29" s="143"/>
      <c r="N29" s="143"/>
      <c r="P29" s="148" t="s">
        <v>1028</v>
      </c>
      <c r="Q29" s="140">
        <f>-NEGVAL</f>
        <v>0</v>
      </c>
      <c r="R29" s="149">
        <v>0</v>
      </c>
    </row>
    <row r="30" spans="1:26" x14ac:dyDescent="0.25">
      <c r="A30" s="143"/>
      <c r="B30" s="143"/>
      <c r="C30" s="143" t="s">
        <v>1098</v>
      </c>
      <c r="D30" s="143"/>
      <c r="E30" s="143"/>
      <c r="F30" s="143"/>
      <c r="G30" s="143"/>
      <c r="H30" s="143"/>
      <c r="I30" s="143"/>
      <c r="J30" s="143"/>
      <c r="K30" s="143"/>
      <c r="L30" s="143"/>
      <c r="M30" s="143"/>
      <c r="N30" s="143"/>
      <c r="Q30" s="149">
        <f>SUM(Q24:Q29)</f>
        <v>2.6223939165600409</v>
      </c>
      <c r="R30" s="140">
        <f>SUM(R24:R29)</f>
        <v>2.63</v>
      </c>
    </row>
    <row r="31" spans="1:26" x14ac:dyDescent="0.25">
      <c r="A31" s="143"/>
      <c r="B31" s="143"/>
      <c r="C31" s="143"/>
      <c r="D31" s="143" t="s">
        <v>1096</v>
      </c>
      <c r="E31" s="143"/>
      <c r="F31" s="143"/>
      <c r="G31" s="143"/>
      <c r="H31" s="143"/>
      <c r="I31" s="143"/>
      <c r="J31" s="143"/>
      <c r="K31" s="143"/>
      <c r="L31" s="143"/>
      <c r="M31" s="143"/>
      <c r="N31" s="143"/>
    </row>
    <row r="32" spans="1:26" x14ac:dyDescent="0.25">
      <c r="A32" s="143"/>
      <c r="B32" s="143" t="s">
        <v>1097</v>
      </c>
      <c r="C32" s="143"/>
      <c r="D32" s="143"/>
      <c r="E32" s="143"/>
      <c r="F32" s="143"/>
      <c r="G32" s="143"/>
      <c r="H32" s="143"/>
      <c r="I32" s="143"/>
      <c r="J32" s="143"/>
      <c r="K32" s="143"/>
      <c r="L32" s="143"/>
      <c r="M32" s="143"/>
      <c r="N32" s="143"/>
    </row>
    <row r="33" spans="1:14" x14ac:dyDescent="0.25">
      <c r="A33" s="143"/>
      <c r="B33" s="143" t="s">
        <v>1516</v>
      </c>
      <c r="C33" s="143"/>
      <c r="D33" s="143"/>
      <c r="E33" s="143"/>
      <c r="F33" s="143"/>
      <c r="G33" s="143"/>
      <c r="H33" s="143"/>
      <c r="I33" s="143"/>
      <c r="J33" s="143"/>
      <c r="K33" s="143"/>
      <c r="L33" s="143"/>
      <c r="M33" s="143"/>
      <c r="N33" s="143"/>
    </row>
    <row r="34" spans="1:14" x14ac:dyDescent="0.25">
      <c r="A34" s="143"/>
      <c r="B34" s="143"/>
      <c r="C34" s="143" t="s">
        <v>1099</v>
      </c>
      <c r="D34" s="143"/>
      <c r="E34" s="143"/>
      <c r="F34" s="143"/>
      <c r="G34" s="143"/>
      <c r="H34" s="143"/>
      <c r="I34" s="143"/>
      <c r="J34" s="143"/>
      <c r="K34" s="143"/>
      <c r="L34" s="143"/>
      <c r="M34" s="143"/>
      <c r="N34" s="143"/>
    </row>
    <row r="35" spans="1:14" x14ac:dyDescent="0.25">
      <c r="A35" s="143"/>
      <c r="B35" s="143"/>
      <c r="C35" s="143"/>
      <c r="D35" s="143"/>
      <c r="E35" s="143"/>
      <c r="F35" s="143"/>
      <c r="G35" s="143"/>
      <c r="H35" s="143"/>
      <c r="I35" s="143"/>
      <c r="J35" s="143"/>
      <c r="K35" s="143"/>
      <c r="L35" s="143"/>
      <c r="M35" s="143"/>
      <c r="N35" s="143"/>
    </row>
    <row r="37" spans="1:14" x14ac:dyDescent="0.25">
      <c r="A37" s="152"/>
      <c r="B37" s="152"/>
      <c r="C37" s="152"/>
      <c r="D37" s="152"/>
      <c r="E37" s="152"/>
      <c r="F37" s="152"/>
      <c r="G37" s="152"/>
      <c r="H37" s="152"/>
      <c r="I37" s="152"/>
      <c r="J37" s="152"/>
      <c r="K37" s="152"/>
      <c r="L37" s="152"/>
      <c r="M37" s="152"/>
      <c r="N37" s="152"/>
    </row>
    <row r="38" spans="1:14" x14ac:dyDescent="0.25">
      <c r="A38" s="152"/>
      <c r="B38" s="152" t="s">
        <v>1517</v>
      </c>
      <c r="C38" s="152"/>
      <c r="D38" s="152"/>
      <c r="E38" s="152"/>
      <c r="F38" s="152"/>
      <c r="G38" s="152"/>
      <c r="H38" s="152"/>
      <c r="I38" s="152"/>
      <c r="J38" s="152"/>
      <c r="K38" s="152"/>
      <c r="L38" s="152"/>
      <c r="M38" s="152"/>
      <c r="N38" s="152"/>
    </row>
    <row r="39" spans="1:14" x14ac:dyDescent="0.25">
      <c r="A39" s="152"/>
      <c r="B39" s="152" t="s">
        <v>1100</v>
      </c>
      <c r="C39" s="152"/>
      <c r="D39" s="152"/>
      <c r="E39" s="152"/>
      <c r="F39" s="152"/>
      <c r="G39" s="152"/>
      <c r="H39" s="152"/>
      <c r="I39" s="152"/>
      <c r="J39" s="152"/>
      <c r="K39" s="152"/>
      <c r="L39" s="152"/>
      <c r="M39" s="152"/>
      <c r="N39" s="152"/>
    </row>
    <row r="40" spans="1:14" x14ac:dyDescent="0.25">
      <c r="A40" s="152"/>
      <c r="B40" s="152" t="s">
        <v>1157</v>
      </c>
      <c r="C40" s="152"/>
      <c r="D40" s="152"/>
      <c r="E40" s="152"/>
      <c r="F40" s="152"/>
      <c r="G40" s="152"/>
      <c r="H40" s="152"/>
      <c r="I40" s="152"/>
      <c r="J40" s="152"/>
      <c r="K40" s="152"/>
      <c r="L40" s="152"/>
      <c r="M40" s="152"/>
      <c r="N40" s="152"/>
    </row>
    <row r="41" spans="1:14" x14ac:dyDescent="0.25">
      <c r="A41" s="152"/>
      <c r="B41" s="152"/>
      <c r="C41" s="152"/>
      <c r="D41" s="152"/>
      <c r="E41" s="152"/>
      <c r="F41" s="152"/>
      <c r="G41" s="152"/>
      <c r="H41" s="152"/>
      <c r="I41" s="152"/>
      <c r="J41" s="152"/>
      <c r="K41" s="152"/>
      <c r="L41" s="152"/>
      <c r="M41" s="152"/>
      <c r="N41" s="152"/>
    </row>
    <row r="42" spans="1:14" x14ac:dyDescent="0.25">
      <c r="A42" s="152"/>
      <c r="B42" s="152"/>
      <c r="C42" s="152"/>
      <c r="D42" s="152"/>
      <c r="E42" s="152"/>
      <c r="F42" s="152"/>
      <c r="G42" s="152"/>
      <c r="H42" s="152"/>
      <c r="I42" s="152"/>
      <c r="J42" s="152"/>
      <c r="K42" s="152"/>
      <c r="L42" s="152"/>
      <c r="M42" s="152"/>
      <c r="N42" s="152"/>
    </row>
    <row r="43" spans="1:14" x14ac:dyDescent="0.25">
      <c r="A43" s="152"/>
      <c r="H43" s="152"/>
      <c r="I43" s="152"/>
      <c r="J43" s="152"/>
      <c r="K43" s="152"/>
      <c r="L43" s="152"/>
      <c r="M43" s="152"/>
      <c r="N43" s="152"/>
    </row>
    <row r="44" spans="1:14" x14ac:dyDescent="0.25">
      <c r="A44" s="152"/>
      <c r="H44" s="152"/>
      <c r="I44" s="152"/>
      <c r="J44" s="152"/>
      <c r="K44" s="152"/>
      <c r="L44" s="152"/>
      <c r="M44" s="152"/>
      <c r="N44" s="152"/>
    </row>
    <row r="45" spans="1:14" x14ac:dyDescent="0.25">
      <c r="A45" s="152"/>
      <c r="H45" s="152"/>
      <c r="I45" s="152"/>
      <c r="J45" s="152"/>
      <c r="K45" s="152"/>
      <c r="L45" s="152"/>
      <c r="M45" s="152"/>
      <c r="N45" s="152"/>
    </row>
    <row r="46" spans="1:14" x14ac:dyDescent="0.25">
      <c r="A46" s="152"/>
      <c r="H46" s="152"/>
      <c r="I46" s="152"/>
      <c r="J46" s="152"/>
      <c r="K46" s="152"/>
      <c r="L46" s="152"/>
      <c r="M46" s="152"/>
      <c r="N46" s="152"/>
    </row>
    <row r="47" spans="1:14" x14ac:dyDescent="0.25">
      <c r="A47" s="152"/>
      <c r="H47" s="152"/>
      <c r="I47" s="152"/>
      <c r="J47" s="152"/>
      <c r="K47" s="152"/>
      <c r="L47" s="152"/>
      <c r="M47" s="152"/>
      <c r="N47" s="152"/>
    </row>
    <row r="48" spans="1:14" x14ac:dyDescent="0.25">
      <c r="A48" s="152"/>
      <c r="H48" s="152"/>
      <c r="I48" s="152"/>
      <c r="J48" s="152"/>
      <c r="K48" s="152"/>
      <c r="L48" s="152"/>
      <c r="M48" s="152"/>
      <c r="N48" s="152"/>
    </row>
    <row r="49" spans="1:19" x14ac:dyDescent="0.25">
      <c r="A49" s="152"/>
      <c r="H49" s="152"/>
      <c r="I49" s="152"/>
      <c r="J49" s="152"/>
      <c r="K49" s="152"/>
      <c r="L49" s="152"/>
      <c r="M49" s="152"/>
      <c r="N49" s="152"/>
    </row>
    <row r="50" spans="1:19" x14ac:dyDescent="0.25">
      <c r="A50" s="152"/>
      <c r="H50" s="152"/>
      <c r="I50" s="152"/>
      <c r="J50" s="152"/>
      <c r="K50" s="152"/>
      <c r="L50" s="152"/>
      <c r="M50" s="152"/>
      <c r="N50" s="152"/>
    </row>
    <row r="51" spans="1:19" x14ac:dyDescent="0.25">
      <c r="A51" s="152"/>
      <c r="H51" s="152"/>
      <c r="I51" s="152"/>
      <c r="J51" s="152"/>
      <c r="K51" s="152"/>
      <c r="L51" s="152"/>
      <c r="M51" s="152"/>
      <c r="N51" s="152"/>
    </row>
    <row r="52" spans="1:19" x14ac:dyDescent="0.25">
      <c r="A52" s="152"/>
      <c r="H52" s="152"/>
      <c r="I52" s="152"/>
      <c r="J52" s="152"/>
      <c r="K52" s="152"/>
      <c r="L52" s="152"/>
      <c r="M52" s="152"/>
      <c r="N52" s="152"/>
    </row>
    <row r="53" spans="1:19" x14ac:dyDescent="0.25">
      <c r="A53" s="152"/>
      <c r="H53" s="152"/>
      <c r="I53" s="152"/>
      <c r="J53" s="152"/>
      <c r="K53" s="152"/>
      <c r="L53" s="152"/>
      <c r="M53" s="152"/>
      <c r="N53" s="152"/>
    </row>
    <row r="54" spans="1:19" x14ac:dyDescent="0.25">
      <c r="A54" s="152"/>
      <c r="H54" s="152"/>
      <c r="I54" s="152"/>
      <c r="J54" s="152"/>
      <c r="K54" s="152"/>
      <c r="L54" s="152"/>
      <c r="M54" s="152"/>
      <c r="N54" s="152"/>
    </row>
    <row r="55" spans="1:19" x14ac:dyDescent="0.25">
      <c r="A55" s="152"/>
      <c r="H55" s="152"/>
      <c r="I55" s="152"/>
      <c r="J55" s="152"/>
      <c r="K55" s="152"/>
      <c r="L55" s="152"/>
      <c r="M55" s="152"/>
      <c r="N55" s="152"/>
    </row>
    <row r="56" spans="1:19" x14ac:dyDescent="0.25">
      <c r="A56" s="152"/>
      <c r="H56" s="152"/>
      <c r="I56" s="152"/>
      <c r="J56" s="152"/>
      <c r="K56" s="152"/>
      <c r="L56" s="152"/>
      <c r="M56" s="152"/>
      <c r="N56" s="152"/>
      <c r="O56" s="152" t="s">
        <v>1104</v>
      </c>
      <c r="P56" s="152" t="s">
        <v>1106</v>
      </c>
      <c r="Q56" s="153">
        <f>IF(CMEAT="Yes",-(RED+WHITE)*0.8/1000,0)</f>
        <v>0</v>
      </c>
    </row>
    <row r="57" spans="1:19" x14ac:dyDescent="0.25">
      <c r="A57" s="152"/>
      <c r="H57" s="152"/>
      <c r="I57" s="152"/>
      <c r="J57" s="152"/>
      <c r="K57" s="152"/>
      <c r="L57" s="152"/>
      <c r="M57" s="152"/>
      <c r="N57" s="152"/>
    </row>
    <row r="58" spans="1:19" x14ac:dyDescent="0.25">
      <c r="A58" s="152"/>
      <c r="H58" s="152"/>
      <c r="I58" s="152"/>
      <c r="J58" s="152"/>
      <c r="K58" s="152"/>
      <c r="L58" s="152"/>
      <c r="M58" s="152"/>
      <c r="N58" s="152"/>
    </row>
    <row r="59" spans="1:19" x14ac:dyDescent="0.25">
      <c r="A59" s="152"/>
      <c r="H59" s="152"/>
      <c r="I59" s="152"/>
      <c r="J59" s="152"/>
      <c r="K59" s="152"/>
      <c r="L59" s="152"/>
      <c r="M59" s="152"/>
      <c r="N59" s="152"/>
      <c r="O59" s="152" t="s">
        <v>1105</v>
      </c>
      <c r="P59" s="152" t="s">
        <v>1107</v>
      </c>
      <c r="Q59" s="153">
        <v>1.9</v>
      </c>
      <c r="S59" s="154" t="s">
        <v>1115</v>
      </c>
    </row>
    <row r="60" spans="1:19" x14ac:dyDescent="0.25">
      <c r="A60" s="152"/>
      <c r="H60" s="152"/>
      <c r="I60" s="152"/>
      <c r="J60" s="152"/>
      <c r="K60" s="152"/>
      <c r="L60" s="152"/>
      <c r="M60" s="152"/>
      <c r="N60" s="152"/>
      <c r="S60" s="154" t="s">
        <v>1116</v>
      </c>
    </row>
    <row r="61" spans="1:19" x14ac:dyDescent="0.25">
      <c r="A61" s="152"/>
      <c r="B61" s="152"/>
      <c r="C61" s="152"/>
      <c r="D61" s="152"/>
      <c r="E61" s="152"/>
      <c r="F61" s="152"/>
      <c r="G61" s="152"/>
      <c r="H61" s="152"/>
      <c r="I61" s="152"/>
      <c r="J61" s="152"/>
      <c r="K61" s="152"/>
      <c r="L61" s="152"/>
      <c r="M61" s="152"/>
      <c r="N61" s="152"/>
      <c r="S61" s="154" t="s">
        <v>1117</v>
      </c>
    </row>
    <row r="62" spans="1:19" x14ac:dyDescent="0.25">
      <c r="A62" s="152"/>
      <c r="B62" s="152" t="s">
        <v>1158</v>
      </c>
      <c r="C62" s="152"/>
      <c r="D62" s="152"/>
      <c r="E62" s="152"/>
      <c r="F62" s="152"/>
      <c r="G62" s="152"/>
      <c r="H62" s="152"/>
      <c r="I62" s="152"/>
      <c r="J62" s="152"/>
      <c r="K62" s="152"/>
      <c r="L62" s="152"/>
      <c r="M62" s="152"/>
      <c r="N62" s="152"/>
      <c r="S62" s="154" t="s">
        <v>1118</v>
      </c>
    </row>
    <row r="63" spans="1:19" x14ac:dyDescent="0.25">
      <c r="A63" s="152"/>
      <c r="B63" s="152" t="s">
        <v>1123</v>
      </c>
      <c r="C63" s="152"/>
      <c r="D63" s="152"/>
      <c r="E63" s="152"/>
      <c r="F63" s="152"/>
      <c r="G63" s="152"/>
      <c r="H63" s="152"/>
      <c r="I63" s="152"/>
      <c r="J63" s="152"/>
      <c r="K63" s="152"/>
      <c r="L63" s="152"/>
      <c r="M63" s="152"/>
      <c r="N63" s="152"/>
    </row>
    <row r="64" spans="1:19" x14ac:dyDescent="0.25">
      <c r="A64" s="152"/>
      <c r="B64" s="152" t="s">
        <v>1122</v>
      </c>
      <c r="C64" s="152"/>
      <c r="D64" s="152"/>
      <c r="E64" s="152"/>
      <c r="F64" s="152"/>
      <c r="G64" s="152"/>
      <c r="H64" s="152"/>
      <c r="I64" s="152"/>
      <c r="J64" s="152"/>
      <c r="K64" s="152"/>
      <c r="L64" s="152"/>
      <c r="M64" s="152"/>
      <c r="N64" s="152"/>
    </row>
    <row r="65" spans="1:14" x14ac:dyDescent="0.25">
      <c r="A65" s="152"/>
      <c r="B65" s="152" t="s">
        <v>1124</v>
      </c>
      <c r="C65" s="152"/>
      <c r="D65" s="152"/>
      <c r="E65" s="152"/>
      <c r="F65" s="152"/>
      <c r="G65" s="152"/>
      <c r="H65" s="155">
        <f>PFP-0.7</f>
        <v>12.409326782608696</v>
      </c>
      <c r="I65" s="152" t="s">
        <v>1126</v>
      </c>
      <c r="J65" s="156"/>
      <c r="K65" s="152"/>
      <c r="L65" s="152"/>
      <c r="M65" s="152"/>
      <c r="N65" s="152"/>
    </row>
    <row r="67" spans="1:14" x14ac:dyDescent="0.25">
      <c r="B67" s="152" t="s">
        <v>1159</v>
      </c>
    </row>
  </sheetData>
  <mergeCells count="3">
    <mergeCell ref="E2:F2"/>
    <mergeCell ref="E3:F3"/>
    <mergeCell ref="E4:F4"/>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24"/>
  <sheetViews>
    <sheetView showGridLines="0" showRowColHeaders="0" topLeftCell="A6" zoomScale="120" zoomScaleNormal="120" workbookViewId="0">
      <selection activeCell="B20" sqref="B20:C20"/>
    </sheetView>
  </sheetViews>
  <sheetFormatPr defaultRowHeight="15" x14ac:dyDescent="0.25"/>
  <cols>
    <col min="1" max="1" width="44.28515625" style="140" customWidth="1"/>
    <col min="2" max="2" width="17.140625" style="140" customWidth="1"/>
    <col min="3" max="3" width="19.42578125" style="140" customWidth="1"/>
    <col min="4" max="4" width="47.42578125" style="140" customWidth="1"/>
    <col min="5" max="5" width="12" style="140" customWidth="1"/>
    <col min="6" max="16384" width="9.140625" style="140"/>
  </cols>
  <sheetData>
    <row r="1" spans="1:6" ht="33.75" x14ac:dyDescent="0.5">
      <c r="A1" s="228" t="s">
        <v>1502</v>
      </c>
      <c r="B1" s="267" t="s">
        <v>1504</v>
      </c>
      <c r="C1" s="138"/>
      <c r="D1" s="138"/>
      <c r="E1" s="138"/>
      <c r="F1" s="138"/>
    </row>
    <row r="2" spans="1:6" x14ac:dyDescent="0.25">
      <c r="A2" s="138"/>
      <c r="B2" s="138"/>
      <c r="C2" s="138"/>
      <c r="D2" s="138"/>
      <c r="E2" s="138"/>
      <c r="F2" s="138"/>
    </row>
    <row r="3" spans="1:6" x14ac:dyDescent="0.25">
      <c r="A3" s="138"/>
      <c r="B3" s="222" t="s">
        <v>1519</v>
      </c>
      <c r="C3" s="223"/>
      <c r="D3" s="223"/>
      <c r="E3" s="138"/>
      <c r="F3" s="138"/>
    </row>
    <row r="4" spans="1:6" x14ac:dyDescent="0.25">
      <c r="A4" s="138"/>
      <c r="B4" s="223" t="s">
        <v>1304</v>
      </c>
      <c r="C4" s="138"/>
      <c r="D4" s="223"/>
      <c r="E4" s="138"/>
      <c r="F4" s="138"/>
    </row>
    <row r="5" spans="1:6" x14ac:dyDescent="0.25">
      <c r="A5" s="138"/>
      <c r="B5" s="222" t="s">
        <v>1518</v>
      </c>
      <c r="C5" s="223"/>
      <c r="D5" s="223"/>
      <c r="E5" s="138"/>
      <c r="F5" s="138"/>
    </row>
    <row r="6" spans="1:6" x14ac:dyDescent="0.25">
      <c r="A6" s="138"/>
      <c r="B6" s="222" t="s">
        <v>1188</v>
      </c>
      <c r="C6" s="223"/>
      <c r="D6" s="223"/>
      <c r="E6" s="138"/>
      <c r="F6" s="138"/>
    </row>
    <row r="7" spans="1:6" x14ac:dyDescent="0.25">
      <c r="A7" s="138"/>
      <c r="B7" s="222" t="s">
        <v>1184</v>
      </c>
      <c r="C7" s="223"/>
      <c r="D7" s="223"/>
      <c r="E7" s="138"/>
      <c r="F7" s="138"/>
    </row>
    <row r="8" spans="1:6" x14ac:dyDescent="0.25">
      <c r="A8" s="138"/>
      <c r="B8" s="222" t="s">
        <v>1185</v>
      </c>
      <c r="C8" s="223"/>
      <c r="D8" s="223"/>
      <c r="E8" s="138"/>
      <c r="F8" s="138"/>
    </row>
    <row r="9" spans="1:6" ht="26.25" customHeight="1" x14ac:dyDescent="0.35">
      <c r="A9" s="138"/>
      <c r="B9" s="267" t="s">
        <v>1507</v>
      </c>
      <c r="C9" s="223"/>
      <c r="D9" s="223"/>
      <c r="E9" s="138"/>
      <c r="F9" s="138"/>
    </row>
    <row r="10" spans="1:6" x14ac:dyDescent="0.25">
      <c r="A10" s="138"/>
      <c r="B10" s="222" t="s">
        <v>1183</v>
      </c>
      <c r="C10" s="223"/>
      <c r="D10" s="223"/>
      <c r="E10" s="138"/>
      <c r="F10" s="138"/>
    </row>
    <row r="11" spans="1:6" ht="26.25" customHeight="1" x14ac:dyDescent="0.25">
      <c r="A11" s="138"/>
      <c r="B11" s="176">
        <v>3</v>
      </c>
      <c r="C11" s="254" t="s">
        <v>1505</v>
      </c>
      <c r="D11" s="223"/>
      <c r="E11" s="138"/>
      <c r="F11" s="138"/>
    </row>
    <row r="12" spans="1:6" ht="26.25" customHeight="1" x14ac:dyDescent="0.35">
      <c r="A12" s="138"/>
      <c r="B12" s="267" t="s">
        <v>1508</v>
      </c>
      <c r="C12" s="138"/>
      <c r="D12" s="138"/>
      <c r="E12" s="138"/>
      <c r="F12" s="138"/>
    </row>
    <row r="13" spans="1:6" ht="30.75" customHeight="1" x14ac:dyDescent="0.25">
      <c r="A13" s="138"/>
      <c r="B13" s="325" t="s">
        <v>1521</v>
      </c>
      <c r="C13" s="325"/>
      <c r="D13" s="325"/>
      <c r="E13" s="325"/>
      <c r="F13" s="138"/>
    </row>
    <row r="14" spans="1:6" x14ac:dyDescent="0.25">
      <c r="A14" s="138"/>
      <c r="B14" s="222" t="s">
        <v>1522</v>
      </c>
      <c r="C14" s="223"/>
      <c r="D14" s="223"/>
      <c r="E14" s="138"/>
      <c r="F14" s="138"/>
    </row>
    <row r="15" spans="1:6" ht="26.25" customHeight="1" x14ac:dyDescent="0.25">
      <c r="A15" s="138"/>
      <c r="B15" s="176">
        <v>2.2999999999999998</v>
      </c>
      <c r="C15" s="254"/>
      <c r="D15" s="223"/>
      <c r="E15" s="138"/>
      <c r="F15" s="138"/>
    </row>
    <row r="16" spans="1:6" ht="26.25" customHeight="1" x14ac:dyDescent="0.35">
      <c r="A16" s="138"/>
      <c r="B16" s="267" t="s">
        <v>1509</v>
      </c>
      <c r="C16" s="223"/>
      <c r="D16" s="223"/>
      <c r="E16" s="138"/>
      <c r="F16" s="138"/>
    </row>
    <row r="17" spans="1:6" x14ac:dyDescent="0.25">
      <c r="A17" s="138"/>
      <c r="B17" s="222" t="s">
        <v>1186</v>
      </c>
      <c r="C17" s="223"/>
      <c r="D17" s="138"/>
      <c r="E17" s="138"/>
      <c r="F17" s="138"/>
    </row>
    <row r="18" spans="1:6" x14ac:dyDescent="0.25">
      <c r="A18" s="138"/>
      <c r="B18" s="226" t="s">
        <v>1520</v>
      </c>
      <c r="C18" s="225"/>
      <c r="D18" s="223"/>
      <c r="E18" s="138"/>
      <c r="F18" s="138"/>
    </row>
    <row r="19" spans="1:6" x14ac:dyDescent="0.25">
      <c r="A19" s="138"/>
      <c r="B19" s="226" t="s">
        <v>1187</v>
      </c>
      <c r="C19" s="225"/>
      <c r="D19" s="223"/>
      <c r="E19" s="138"/>
      <c r="F19" s="138"/>
    </row>
    <row r="20" spans="1:6" ht="26.25" customHeight="1" x14ac:dyDescent="0.25">
      <c r="A20" s="138"/>
      <c r="B20" s="324" t="s">
        <v>95</v>
      </c>
      <c r="C20" s="318"/>
      <c r="D20" s="223"/>
      <c r="E20" s="138"/>
      <c r="F20" s="138"/>
    </row>
    <row r="21" spans="1:6" ht="28.5" customHeight="1" x14ac:dyDescent="0.25">
      <c r="A21" s="138"/>
      <c r="B21" s="138"/>
      <c r="C21" s="138"/>
      <c r="D21" s="225"/>
      <c r="E21" s="138"/>
      <c r="F21" s="138"/>
    </row>
    <row r="22" spans="1:6" x14ac:dyDescent="0.25">
      <c r="A22" s="138"/>
      <c r="B22" s="138"/>
      <c r="C22" s="138"/>
      <c r="D22" s="225"/>
      <c r="E22" s="138"/>
      <c r="F22" s="138"/>
    </row>
    <row r="23" spans="1:6" x14ac:dyDescent="0.25">
      <c r="A23" s="138"/>
      <c r="B23" s="138"/>
      <c r="C23" s="138"/>
      <c r="D23" s="225"/>
      <c r="E23" s="138"/>
      <c r="F23" s="138"/>
    </row>
    <row r="24" spans="1:6" x14ac:dyDescent="0.25">
      <c r="A24" s="138"/>
      <c r="B24" s="138"/>
      <c r="C24" s="138"/>
      <c r="D24" s="138"/>
      <c r="E24" s="138"/>
      <c r="F24" s="138"/>
    </row>
  </sheetData>
  <mergeCells count="2">
    <mergeCell ref="B20:C20"/>
    <mergeCell ref="B13:E13"/>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Steps!$W$30:$AB$30</xm:f>
          </x14:formula1>
          <xm:sqref>B20:C20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K81"/>
  <sheetViews>
    <sheetView showGridLines="0" showRowColHeaders="0" tabSelected="1" zoomScale="120" zoomScaleNormal="120" workbookViewId="0">
      <selection activeCell="B6" sqref="B6:D6"/>
    </sheetView>
  </sheetViews>
  <sheetFormatPr defaultRowHeight="12.75" x14ac:dyDescent="0.2"/>
  <cols>
    <col min="1" max="1" width="44.28515625" style="181" customWidth="1"/>
    <col min="2" max="2" width="17" style="182" customWidth="1"/>
    <col min="3" max="3" width="29.42578125" style="181" customWidth="1"/>
    <col min="4" max="4" width="53.5703125" style="181" customWidth="1"/>
    <col min="5" max="5" width="9.140625" style="181" customWidth="1"/>
    <col min="6" max="6" width="11.42578125" style="181" customWidth="1"/>
    <col min="7" max="7" width="9.28515625" style="181" bestFit="1" customWidth="1"/>
    <col min="8" max="13" width="9.140625" style="181"/>
    <col min="14" max="14" width="63" style="181" customWidth="1"/>
    <col min="15" max="17" width="9.140625" style="181"/>
    <col min="18" max="19" width="9.28515625" style="181" bestFit="1" customWidth="1"/>
    <col min="20" max="20" width="9.140625" style="181"/>
    <col min="21" max="21" width="9.28515625" style="181" bestFit="1" customWidth="1"/>
    <col min="22" max="22" width="10.5703125" style="181" bestFit="1" customWidth="1"/>
    <col min="23" max="23" width="9.5703125" style="181" bestFit="1" customWidth="1"/>
    <col min="24" max="28" width="11.5703125" style="181" bestFit="1" customWidth="1"/>
    <col min="29" max="29" width="9.140625" style="181"/>
    <col min="30" max="31" width="10.5703125" style="181" bestFit="1" customWidth="1"/>
    <col min="32" max="35" width="9.140625" style="181"/>
    <col min="36" max="36" width="9.28515625" style="181" bestFit="1" customWidth="1"/>
    <col min="37" max="16384" width="9.140625" style="181"/>
  </cols>
  <sheetData>
    <row r="1" spans="1:37" ht="33.75" customHeight="1" x14ac:dyDescent="0.5">
      <c r="A1" s="228" t="s">
        <v>1503</v>
      </c>
      <c r="B1" s="222"/>
      <c r="C1" s="223"/>
      <c r="D1" s="223"/>
      <c r="E1" s="223"/>
    </row>
    <row r="2" spans="1:37" ht="27.75" customHeight="1" x14ac:dyDescent="0.25">
      <c r="A2" s="223"/>
      <c r="B2" s="326" t="s">
        <v>1523</v>
      </c>
      <c r="C2" s="327"/>
      <c r="D2" s="327"/>
      <c r="E2" s="223"/>
      <c r="F2" s="184"/>
      <c r="G2" s="184"/>
    </row>
    <row r="3" spans="1:37" ht="12" customHeight="1" x14ac:dyDescent="0.25">
      <c r="A3" s="223"/>
      <c r="B3" s="125" t="s">
        <v>1529</v>
      </c>
      <c r="C3" s="223"/>
      <c r="D3" s="223"/>
      <c r="E3" s="223"/>
      <c r="F3" s="184"/>
      <c r="G3" s="184"/>
    </row>
    <row r="4" spans="1:37" ht="12" customHeight="1" x14ac:dyDescent="0.25">
      <c r="A4" s="223"/>
      <c r="B4" s="130" t="s">
        <v>1113</v>
      </c>
      <c r="C4" s="223"/>
      <c r="D4" s="223"/>
      <c r="E4" s="223"/>
      <c r="F4" s="184"/>
      <c r="G4" s="184"/>
    </row>
    <row r="5" spans="1:37" ht="26.25" customHeight="1" x14ac:dyDescent="0.2">
      <c r="A5" s="223"/>
      <c r="B5" s="309"/>
      <c r="C5" s="254" t="s">
        <v>1506</v>
      </c>
      <c r="D5" s="223"/>
      <c r="E5" s="223"/>
      <c r="F5" s="184"/>
      <c r="G5" s="184"/>
      <c r="H5" s="184"/>
      <c r="I5" s="184"/>
      <c r="J5" s="184"/>
      <c r="K5" s="184"/>
      <c r="L5" s="184"/>
      <c r="M5" s="184"/>
      <c r="N5" s="184"/>
      <c r="O5" s="184"/>
      <c r="P5" s="184"/>
    </row>
    <row r="6" spans="1:37" ht="28.5" customHeight="1" x14ac:dyDescent="0.25">
      <c r="A6" s="223"/>
      <c r="B6" s="328" t="s">
        <v>1288</v>
      </c>
      <c r="C6" s="327"/>
      <c r="D6" s="327"/>
      <c r="E6" s="223"/>
      <c r="F6" s="184"/>
      <c r="G6" s="184"/>
      <c r="H6" s="184"/>
      <c r="I6" s="184"/>
      <c r="J6" s="184"/>
      <c r="K6" s="184"/>
      <c r="L6" s="184"/>
      <c r="M6" s="184"/>
      <c r="N6" s="184"/>
      <c r="O6" s="184"/>
      <c r="P6" s="184"/>
    </row>
    <row r="7" spans="1:37" ht="26.25" customHeight="1" x14ac:dyDescent="0.2">
      <c r="A7" s="223"/>
      <c r="B7" s="309"/>
      <c r="C7" s="254" t="s">
        <v>1506</v>
      </c>
      <c r="D7" s="139"/>
      <c r="E7" s="223"/>
      <c r="F7" s="184"/>
      <c r="G7" s="184"/>
      <c r="H7" s="184"/>
      <c r="I7" s="184"/>
      <c r="J7" s="184"/>
      <c r="K7" s="184"/>
      <c r="L7" s="184"/>
      <c r="M7" s="184"/>
      <c r="N7" s="184"/>
      <c r="O7" s="184"/>
      <c r="P7" s="184"/>
    </row>
    <row r="8" spans="1:37" ht="15" x14ac:dyDescent="0.25">
      <c r="A8" s="223"/>
      <c r="B8" s="138" t="s">
        <v>1101</v>
      </c>
      <c r="C8" s="223"/>
      <c r="D8" s="223"/>
      <c r="E8" s="223"/>
      <c r="F8" s="184"/>
      <c r="G8" s="184"/>
      <c r="H8" s="184"/>
      <c r="I8" s="184"/>
      <c r="J8" s="184"/>
      <c r="K8" s="184"/>
      <c r="L8" s="184"/>
      <c r="M8" s="184"/>
      <c r="N8" s="184"/>
      <c r="O8" s="184"/>
      <c r="P8" s="184"/>
    </row>
    <row r="9" spans="1:37" ht="15" x14ac:dyDescent="0.25">
      <c r="A9" s="223"/>
      <c r="B9" s="138" t="s">
        <v>1125</v>
      </c>
      <c r="C9" s="223"/>
      <c r="D9" s="139" t="s">
        <v>1289</v>
      </c>
      <c r="E9" s="223"/>
      <c r="F9" s="184"/>
      <c r="G9" s="184"/>
      <c r="H9" s="184"/>
      <c r="I9" s="184"/>
      <c r="J9" s="184"/>
      <c r="K9" s="184"/>
      <c r="L9" s="184"/>
      <c r="M9" s="184"/>
      <c r="N9" s="184"/>
      <c r="O9" s="184"/>
      <c r="P9" s="184"/>
    </row>
    <row r="10" spans="1:37" ht="15" x14ac:dyDescent="0.25">
      <c r="A10" s="223"/>
      <c r="B10" s="138" t="s">
        <v>1290</v>
      </c>
      <c r="C10" s="223"/>
      <c r="D10" s="223"/>
      <c r="E10" s="223"/>
      <c r="F10" s="184"/>
      <c r="G10" s="184"/>
      <c r="H10" s="184"/>
      <c r="J10" s="185"/>
      <c r="K10" s="185"/>
      <c r="L10" s="185"/>
      <c r="M10" s="185"/>
      <c r="N10" s="185"/>
      <c r="O10" s="184"/>
      <c r="P10" s="184"/>
    </row>
    <row r="11" spans="1:37" ht="26.25" customHeight="1" thickBot="1" x14ac:dyDescent="0.25">
      <c r="A11" s="223"/>
      <c r="B11" s="284" t="s">
        <v>389</v>
      </c>
      <c r="C11" s="219" t="s">
        <v>1532</v>
      </c>
      <c r="D11" s="223"/>
      <c r="E11" s="223"/>
      <c r="F11" s="184"/>
      <c r="H11" s="184"/>
      <c r="I11" s="184"/>
      <c r="J11" s="184"/>
      <c r="K11" s="184"/>
      <c r="L11" s="184"/>
      <c r="M11" s="184"/>
      <c r="N11" s="184"/>
      <c r="O11" s="184"/>
      <c r="P11" s="184"/>
    </row>
    <row r="12" spans="1:37" ht="18.75" customHeight="1" x14ac:dyDescent="0.25">
      <c r="A12" s="223"/>
      <c r="B12" s="125" t="s">
        <v>1530</v>
      </c>
      <c r="C12" s="223"/>
      <c r="D12" s="223"/>
      <c r="E12" s="223"/>
      <c r="F12" s="184"/>
      <c r="G12" s="184"/>
      <c r="H12" s="184"/>
      <c r="I12" s="184"/>
      <c r="J12" s="184"/>
      <c r="K12" s="184"/>
      <c r="L12" s="184"/>
      <c r="M12" s="184"/>
      <c r="N12" s="184"/>
      <c r="O12" s="184"/>
      <c r="P12" s="184"/>
      <c r="T12" s="186"/>
      <c r="U12" s="187"/>
      <c r="V12" s="187"/>
      <c r="W12" s="187"/>
      <c r="X12" s="187"/>
      <c r="Y12" s="187"/>
      <c r="Z12" s="187"/>
      <c r="AA12" s="187"/>
      <c r="AB12" s="187"/>
      <c r="AC12" s="187"/>
      <c r="AD12" s="187"/>
      <c r="AE12" s="187"/>
      <c r="AF12" s="187"/>
      <c r="AG12" s="187"/>
      <c r="AH12" s="187"/>
      <c r="AI12" s="187"/>
      <c r="AJ12" s="187"/>
      <c r="AK12" s="188"/>
    </row>
    <row r="13" spans="1:37" ht="26.25" customHeight="1" x14ac:dyDescent="0.2">
      <c r="A13" s="223"/>
      <c r="B13" s="317" t="s">
        <v>1137</v>
      </c>
      <c r="C13" s="317"/>
      <c r="D13" s="223"/>
      <c r="E13" s="223"/>
      <c r="F13" s="184"/>
      <c r="G13" s="184"/>
      <c r="H13" s="184"/>
      <c r="I13" s="184"/>
      <c r="J13" s="184"/>
      <c r="K13" s="184"/>
      <c r="L13" s="184"/>
      <c r="M13" s="184"/>
      <c r="N13" s="184"/>
      <c r="O13" s="184"/>
      <c r="P13" s="184"/>
      <c r="T13" s="189"/>
      <c r="U13" s="190" t="s">
        <v>663</v>
      </c>
      <c r="V13" s="190"/>
      <c r="W13" s="190"/>
      <c r="X13" s="190"/>
      <c r="Y13" s="190"/>
      <c r="Z13" s="190"/>
      <c r="AA13" s="190"/>
      <c r="AB13" s="190"/>
      <c r="AC13" s="190"/>
      <c r="AD13" s="190"/>
      <c r="AE13" s="190"/>
      <c r="AF13" s="190"/>
      <c r="AG13" s="190"/>
      <c r="AH13" s="190"/>
      <c r="AI13" s="190"/>
      <c r="AJ13" s="190"/>
      <c r="AK13" s="191"/>
    </row>
    <row r="14" spans="1:37" ht="15" x14ac:dyDescent="0.25">
      <c r="A14" s="223"/>
      <c r="B14" s="138" t="s">
        <v>1283</v>
      </c>
      <c r="C14" s="223"/>
      <c r="D14" s="223"/>
      <c r="E14" s="223"/>
      <c r="F14" s="184"/>
      <c r="G14" s="184"/>
      <c r="H14" s="184"/>
      <c r="I14" s="184"/>
      <c r="J14" s="184"/>
      <c r="K14" s="184"/>
      <c r="L14" s="184"/>
      <c r="M14" s="184"/>
      <c r="N14" s="184"/>
      <c r="O14" s="184"/>
      <c r="P14" s="184"/>
      <c r="T14" s="189"/>
      <c r="U14" s="190"/>
      <c r="V14" s="190"/>
      <c r="W14" s="190"/>
      <c r="X14" s="190"/>
      <c r="Y14" s="190"/>
      <c r="Z14" s="190"/>
      <c r="AA14" s="190"/>
      <c r="AB14" s="190"/>
      <c r="AC14" s="190"/>
      <c r="AD14" s="190"/>
      <c r="AE14" s="190"/>
      <c r="AF14" s="190"/>
      <c r="AG14" s="190"/>
      <c r="AH14" s="190"/>
      <c r="AI14" s="190"/>
      <c r="AJ14" s="190"/>
      <c r="AK14" s="191"/>
    </row>
    <row r="15" spans="1:37" ht="29.25" customHeight="1" x14ac:dyDescent="0.25">
      <c r="A15" s="223"/>
      <c r="B15" s="329" t="s">
        <v>1531</v>
      </c>
      <c r="C15" s="319"/>
      <c r="D15" s="319"/>
      <c r="E15" s="223"/>
      <c r="F15" s="184"/>
      <c r="G15" s="184"/>
      <c r="H15" s="184"/>
      <c r="I15" s="184"/>
      <c r="J15" s="184"/>
      <c r="K15" s="184"/>
      <c r="L15" s="184"/>
      <c r="M15" s="184"/>
      <c r="N15" s="184"/>
      <c r="O15" s="184"/>
      <c r="P15" s="184"/>
      <c r="T15" s="189"/>
      <c r="U15" s="190" t="s">
        <v>664</v>
      </c>
      <c r="V15" s="190"/>
      <c r="W15" s="190"/>
      <c r="X15" s="190"/>
      <c r="Y15" s="190"/>
      <c r="Z15" s="190"/>
      <c r="AA15" s="190"/>
      <c r="AB15" s="190"/>
      <c r="AC15" s="190"/>
      <c r="AD15" s="190"/>
      <c r="AE15" s="190"/>
      <c r="AF15" s="190"/>
      <c r="AG15" s="190"/>
      <c r="AH15" s="190"/>
      <c r="AI15" s="190"/>
      <c r="AJ15" s="190"/>
      <c r="AK15" s="191"/>
    </row>
    <row r="16" spans="1:37" ht="30" customHeight="1" x14ac:dyDescent="0.25">
      <c r="A16" s="223"/>
      <c r="B16" s="319" t="s">
        <v>1305</v>
      </c>
      <c r="C16" s="319"/>
      <c r="D16" s="319"/>
      <c r="E16" s="223"/>
      <c r="F16" s="184"/>
      <c r="G16" s="184"/>
      <c r="H16" s="184"/>
      <c r="I16" s="184"/>
      <c r="J16" s="184"/>
      <c r="K16" s="184"/>
      <c r="L16" s="184"/>
      <c r="M16" s="184"/>
      <c r="N16" s="184"/>
      <c r="O16" s="184"/>
      <c r="P16" s="184"/>
      <c r="T16" s="189"/>
      <c r="U16" s="190" t="s">
        <v>665</v>
      </c>
      <c r="V16" s="190"/>
      <c r="W16" s="190"/>
      <c r="X16" s="190"/>
      <c r="Y16" s="190"/>
      <c r="Z16" s="190"/>
      <c r="AA16" s="190"/>
      <c r="AB16" s="190"/>
      <c r="AC16" s="190"/>
      <c r="AD16" s="190"/>
      <c r="AE16" s="190"/>
      <c r="AF16" s="190"/>
      <c r="AG16" s="190"/>
      <c r="AH16" s="190"/>
      <c r="AI16" s="190"/>
      <c r="AJ16" s="190"/>
      <c r="AK16" s="191"/>
    </row>
    <row r="17" spans="1:37" ht="26.25" customHeight="1" x14ac:dyDescent="0.2">
      <c r="A17" s="223"/>
      <c r="B17" s="284">
        <v>0</v>
      </c>
      <c r="C17" s="254" t="s">
        <v>1506</v>
      </c>
      <c r="D17" s="223"/>
      <c r="E17" s="223"/>
      <c r="F17" s="184"/>
      <c r="G17" s="184"/>
      <c r="H17" s="184"/>
      <c r="I17" s="184"/>
      <c r="J17" s="184"/>
      <c r="K17" s="184"/>
      <c r="L17" s="184"/>
      <c r="M17" s="184"/>
      <c r="N17" s="184"/>
      <c r="O17" s="184"/>
      <c r="P17" s="184"/>
      <c r="T17" s="189"/>
      <c r="U17" s="190" t="s">
        <v>666</v>
      </c>
      <c r="V17" s="190"/>
      <c r="W17" s="190"/>
      <c r="X17" s="190"/>
      <c r="Y17" s="190"/>
      <c r="Z17" s="190"/>
      <c r="AA17" s="190"/>
      <c r="AB17" s="190"/>
      <c r="AC17" s="190"/>
      <c r="AD17" s="190"/>
      <c r="AE17" s="190"/>
      <c r="AF17" s="190"/>
      <c r="AG17" s="190"/>
      <c r="AH17" s="190"/>
      <c r="AI17" s="190"/>
      <c r="AJ17" s="190"/>
      <c r="AK17" s="191"/>
    </row>
    <row r="18" spans="1:37" ht="15" x14ac:dyDescent="0.25">
      <c r="A18" s="223"/>
      <c r="B18" s="304"/>
      <c r="C18" s="223"/>
      <c r="D18" s="223"/>
      <c r="E18" s="223"/>
      <c r="F18" s="184"/>
      <c r="G18" s="184"/>
      <c r="H18" s="184"/>
      <c r="I18" s="184"/>
      <c r="J18" s="184"/>
      <c r="K18" s="184"/>
      <c r="L18" s="184"/>
      <c r="M18" s="184"/>
      <c r="N18" s="184"/>
      <c r="O18" s="184"/>
      <c r="P18" s="184"/>
      <c r="T18" s="189"/>
      <c r="U18" s="190"/>
      <c r="V18" s="190"/>
      <c r="W18" s="190"/>
      <c r="X18" s="190"/>
      <c r="Y18" s="190"/>
      <c r="Z18" s="190"/>
      <c r="AA18" s="190"/>
      <c r="AB18" s="190"/>
      <c r="AC18" s="190"/>
      <c r="AD18" s="190"/>
      <c r="AE18" s="190"/>
      <c r="AF18" s="190"/>
      <c r="AG18" s="190"/>
      <c r="AH18" s="190"/>
      <c r="AI18" s="190"/>
      <c r="AJ18" s="190"/>
      <c r="AK18" s="191"/>
    </row>
    <row r="19" spans="1:37" ht="15" x14ac:dyDescent="0.25">
      <c r="A19" s="223"/>
      <c r="B19" s="304"/>
      <c r="C19" s="223"/>
      <c r="D19" s="223"/>
      <c r="E19" s="223"/>
      <c r="F19" s="184"/>
      <c r="G19" s="184"/>
      <c r="H19" s="184"/>
      <c r="I19" s="184"/>
      <c r="J19" s="184"/>
      <c r="K19" s="184"/>
      <c r="L19" s="184"/>
      <c r="M19" s="184"/>
      <c r="N19" s="184"/>
      <c r="O19" s="184"/>
      <c r="P19" s="184"/>
      <c r="T19" s="189"/>
      <c r="U19" s="190"/>
      <c r="V19" s="190"/>
      <c r="W19" s="190"/>
      <c r="X19" s="190"/>
      <c r="Y19" s="190"/>
      <c r="Z19" s="190"/>
      <c r="AA19" s="190"/>
      <c r="AB19" s="190"/>
      <c r="AC19" s="190"/>
      <c r="AD19" s="190"/>
      <c r="AE19" s="190"/>
      <c r="AF19" s="190"/>
      <c r="AG19" s="190"/>
      <c r="AH19" s="190"/>
      <c r="AI19" s="190"/>
      <c r="AJ19" s="190"/>
      <c r="AK19" s="191"/>
    </row>
    <row r="20" spans="1:37" ht="15" x14ac:dyDescent="0.25">
      <c r="A20" s="223"/>
      <c r="B20" s="304"/>
      <c r="C20" s="223"/>
      <c r="D20" s="223"/>
      <c r="E20" s="223"/>
      <c r="F20" s="202"/>
      <c r="G20" s="184"/>
      <c r="H20" s="184"/>
      <c r="I20" s="184"/>
      <c r="J20" s="184"/>
      <c r="K20" s="184"/>
      <c r="L20" s="184"/>
      <c r="M20" s="184"/>
      <c r="N20" s="184"/>
      <c r="O20" s="184"/>
      <c r="P20" s="184"/>
      <c r="T20" s="189"/>
      <c r="U20" s="192" t="s">
        <v>221</v>
      </c>
      <c r="V20" s="193">
        <v>2.2999999999999998</v>
      </c>
      <c r="W20" s="190"/>
      <c r="X20" s="190"/>
      <c r="Y20" s="190"/>
      <c r="Z20" s="190"/>
      <c r="AA20" s="190"/>
      <c r="AB20" s="190"/>
      <c r="AC20" s="190"/>
      <c r="AD20" s="190"/>
      <c r="AE20" s="190"/>
      <c r="AF20" s="190"/>
      <c r="AG20" s="190"/>
      <c r="AH20" s="190"/>
      <c r="AI20" s="190"/>
      <c r="AJ20" s="190"/>
      <c r="AK20" s="191"/>
    </row>
    <row r="21" spans="1:37" ht="15" x14ac:dyDescent="0.25">
      <c r="A21" s="223"/>
      <c r="B21" s="304"/>
      <c r="C21" s="223"/>
      <c r="D21" s="223"/>
      <c r="E21" s="223"/>
      <c r="F21" s="202"/>
      <c r="G21" s="184"/>
      <c r="H21" s="184"/>
      <c r="I21" s="184"/>
      <c r="J21" s="184"/>
      <c r="K21" s="184"/>
      <c r="L21" s="184"/>
      <c r="M21" s="184"/>
      <c r="N21" s="184"/>
      <c r="O21" s="184"/>
      <c r="P21" s="184"/>
      <c r="T21" s="189"/>
      <c r="U21" s="190"/>
      <c r="V21" s="190"/>
      <c r="W21" s="190"/>
      <c r="X21" s="190"/>
      <c r="Y21" s="190"/>
      <c r="Z21" s="190"/>
      <c r="AA21" s="190"/>
      <c r="AB21" s="190"/>
      <c r="AC21" s="190"/>
      <c r="AD21" s="190"/>
      <c r="AE21" s="190"/>
      <c r="AF21" s="190"/>
      <c r="AG21" s="190"/>
      <c r="AH21" s="190"/>
      <c r="AI21" s="190"/>
      <c r="AJ21" s="190"/>
      <c r="AK21" s="191"/>
    </row>
    <row r="22" spans="1:37" ht="15" x14ac:dyDescent="0.25">
      <c r="A22" s="224"/>
      <c r="B22" s="304"/>
      <c r="C22" s="223"/>
      <c r="D22" s="223"/>
      <c r="E22" s="223"/>
      <c r="F22" s="202"/>
      <c r="G22" s="184"/>
      <c r="H22" s="184"/>
      <c r="I22" s="184"/>
      <c r="J22" s="184"/>
      <c r="K22" s="184"/>
      <c r="L22" s="184"/>
      <c r="M22" s="184"/>
      <c r="N22" s="184"/>
      <c r="O22" s="184"/>
      <c r="P22" s="184"/>
      <c r="T22" s="189"/>
      <c r="U22" s="192" t="s">
        <v>104</v>
      </c>
      <c r="V22" s="193">
        <f>IF(INCOME="VERY LOW",9,IF(INCOME="LOWER THAN AVERAGE",17,IF(INCOME="AVERAGE",25,IF(INCOME="HIGHER THAN AVERAGE",30,IF(INCOME="VERY HIGH",40,IF(INCOME="EXTREMELY HIGH",70))))))*(100-OFFSET)/100</f>
        <v>25</v>
      </c>
      <c r="W22" s="190" t="s">
        <v>220</v>
      </c>
      <c r="X22" s="190"/>
      <c r="Y22" s="190"/>
      <c r="Z22" s="190"/>
      <c r="AA22" s="190"/>
      <c r="AB22" s="190"/>
      <c r="AC22" s="190"/>
      <c r="AD22" s="190"/>
      <c r="AE22" s="190"/>
      <c r="AF22" s="190"/>
      <c r="AG22" s="190"/>
      <c r="AH22" s="190"/>
      <c r="AI22" s="190"/>
      <c r="AJ22" s="190"/>
      <c r="AK22" s="191"/>
    </row>
    <row r="23" spans="1:37" x14ac:dyDescent="0.2">
      <c r="A23" s="225"/>
      <c r="B23" s="222"/>
      <c r="C23" s="223"/>
      <c r="D23" s="223"/>
      <c r="E23" s="223"/>
      <c r="F23" s="202"/>
      <c r="G23" s="184"/>
      <c r="H23" s="184"/>
      <c r="I23" s="184"/>
      <c r="J23" s="184"/>
      <c r="K23" s="184"/>
      <c r="L23" s="184"/>
      <c r="M23" s="184"/>
      <c r="N23" s="184"/>
      <c r="O23" s="184"/>
      <c r="P23" s="184"/>
      <c r="T23" s="189"/>
      <c r="U23" s="192" t="s">
        <v>218</v>
      </c>
      <c r="V23" s="196">
        <f>-0.0015*INCSCORE^2+0.36*INCSCORE+8</f>
        <v>16.0625</v>
      </c>
      <c r="W23" s="190" t="s">
        <v>219</v>
      </c>
      <c r="X23" s="190"/>
      <c r="Y23" s="190"/>
      <c r="Z23" s="190"/>
      <c r="AA23" s="190"/>
      <c r="AB23" s="190"/>
      <c r="AC23" s="190"/>
      <c r="AD23" s="190"/>
      <c r="AE23" s="190"/>
      <c r="AF23" s="190"/>
      <c r="AG23" s="190"/>
      <c r="AH23" s="190"/>
      <c r="AI23" s="190"/>
      <c r="AJ23" s="190"/>
      <c r="AK23" s="191"/>
    </row>
    <row r="24" spans="1:37" ht="22.5" customHeight="1" x14ac:dyDescent="0.2">
      <c r="A24" s="194"/>
      <c r="C24" s="184"/>
      <c r="D24" s="184"/>
      <c r="E24" s="184"/>
      <c r="F24" s="202"/>
      <c r="G24" s="184"/>
      <c r="H24" s="184"/>
      <c r="I24" s="184"/>
      <c r="J24" s="184"/>
      <c r="K24" s="184"/>
      <c r="L24" s="184"/>
      <c r="M24" s="184"/>
      <c r="N24" s="184"/>
      <c r="O24" s="184"/>
      <c r="P24" s="184"/>
      <c r="T24" s="189"/>
      <c r="U24" s="190"/>
      <c r="V24" s="77"/>
      <c r="W24" s="190"/>
      <c r="X24" s="190"/>
      <c r="Y24" s="190"/>
      <c r="Z24" s="190"/>
      <c r="AA24" s="190"/>
      <c r="AB24" s="190"/>
      <c r="AC24" s="190"/>
      <c r="AD24" s="190"/>
      <c r="AE24" s="190"/>
      <c r="AF24" s="190"/>
      <c r="AG24" s="190"/>
      <c r="AH24" s="190"/>
      <c r="AI24" s="190"/>
      <c r="AJ24" s="190"/>
      <c r="AK24" s="191"/>
    </row>
    <row r="25" spans="1:37" x14ac:dyDescent="0.2">
      <c r="A25" s="194"/>
      <c r="C25" s="184"/>
      <c r="D25" s="184"/>
      <c r="E25" s="184"/>
      <c r="F25" s="202"/>
      <c r="G25" s="184"/>
      <c r="H25" s="184"/>
      <c r="I25" s="184"/>
      <c r="J25" s="184"/>
      <c r="K25" s="184"/>
      <c r="L25" s="184"/>
      <c r="M25" s="184"/>
      <c r="N25" s="184"/>
      <c r="O25" s="184"/>
      <c r="P25" s="184"/>
      <c r="T25" s="189"/>
      <c r="U25" s="192" t="s">
        <v>105</v>
      </c>
      <c r="V25" s="196">
        <f>INCEM*EXP(0.075*(OCCNORM))</f>
        <v>16.0625</v>
      </c>
      <c r="W25" s="190" t="s">
        <v>228</v>
      </c>
      <c r="X25" s="190"/>
      <c r="Y25" s="190"/>
      <c r="Z25" s="190"/>
      <c r="AA25" s="190"/>
      <c r="AB25" s="190"/>
      <c r="AC25" s="190"/>
      <c r="AD25" s="190"/>
      <c r="AE25" s="190"/>
      <c r="AF25" s="190"/>
      <c r="AG25" s="190"/>
      <c r="AH25" s="190"/>
      <c r="AI25" s="190"/>
      <c r="AJ25" s="190"/>
      <c r="AK25" s="191"/>
    </row>
    <row r="26" spans="1:37" ht="15" x14ac:dyDescent="0.2">
      <c r="A26" s="194"/>
      <c r="C26" s="184"/>
      <c r="D26" s="184"/>
      <c r="E26" s="184"/>
      <c r="F26" s="184"/>
      <c r="G26" s="184"/>
      <c r="H26" s="184"/>
      <c r="I26" s="184"/>
      <c r="J26" s="184"/>
      <c r="K26" s="184"/>
      <c r="L26" s="184"/>
      <c r="M26" s="184"/>
      <c r="N26" s="184"/>
      <c r="O26" s="184"/>
      <c r="P26" s="184"/>
      <c r="T26" s="189"/>
      <c r="U26" s="190"/>
      <c r="V26" s="77" t="s">
        <v>1524</v>
      </c>
      <c r="W26" s="190"/>
      <c r="X26" s="190"/>
      <c r="Y26" s="190"/>
      <c r="Z26" s="190"/>
      <c r="AA26" s="190"/>
      <c r="AB26" s="190"/>
      <c r="AC26" s="190"/>
      <c r="AD26" s="190"/>
      <c r="AE26" s="190"/>
      <c r="AF26" s="190"/>
      <c r="AG26" s="190"/>
      <c r="AH26" s="190"/>
      <c r="AI26" s="190"/>
      <c r="AJ26" s="190"/>
      <c r="AK26" s="191"/>
    </row>
    <row r="27" spans="1:37" x14ac:dyDescent="0.2">
      <c r="A27" s="194"/>
      <c r="C27" s="184"/>
      <c r="D27" s="184"/>
      <c r="E27" s="184"/>
      <c r="F27" s="202"/>
      <c r="G27" s="184"/>
      <c r="H27" s="184"/>
      <c r="I27" s="184"/>
      <c r="J27" s="184"/>
      <c r="K27" s="184"/>
      <c r="L27" s="184"/>
      <c r="M27" s="184"/>
      <c r="N27" s="184"/>
      <c r="O27" s="184"/>
      <c r="P27" s="184"/>
      <c r="T27" s="189"/>
      <c r="U27" s="198" t="s">
        <v>136</v>
      </c>
      <c r="V27" s="199">
        <f>AVHH-PEOPLE</f>
        <v>0</v>
      </c>
      <c r="W27" s="200" t="s">
        <v>295</v>
      </c>
      <c r="X27" s="190"/>
      <c r="Y27" s="190"/>
      <c r="Z27" s="190"/>
      <c r="AA27" s="190"/>
      <c r="AB27" s="190"/>
      <c r="AC27" s="190"/>
      <c r="AD27" s="190"/>
      <c r="AE27" s="190"/>
      <c r="AF27" s="190"/>
      <c r="AG27" s="190"/>
      <c r="AH27" s="190"/>
      <c r="AI27" s="190"/>
      <c r="AJ27" s="190"/>
      <c r="AK27" s="191"/>
    </row>
    <row r="28" spans="1:37" x14ac:dyDescent="0.2">
      <c r="A28" s="194"/>
      <c r="C28" s="184"/>
      <c r="D28" s="184"/>
      <c r="E28" s="184"/>
      <c r="F28" s="184"/>
      <c r="G28" s="184"/>
      <c r="H28" s="184"/>
      <c r="I28" s="184"/>
      <c r="J28" s="184"/>
      <c r="K28" s="184"/>
      <c r="L28" s="184"/>
      <c r="M28" s="184"/>
      <c r="N28" s="184"/>
      <c r="O28" s="184"/>
      <c r="P28" s="184"/>
      <c r="T28" s="189"/>
      <c r="U28" s="190"/>
      <c r="V28" s="190"/>
      <c r="W28" s="190">
        <v>1</v>
      </c>
      <c r="X28" s="190">
        <v>3</v>
      </c>
      <c r="Y28" s="190">
        <v>5</v>
      </c>
      <c r="Z28" s="190">
        <v>7</v>
      </c>
      <c r="AA28" s="190">
        <v>9</v>
      </c>
      <c r="AB28" s="190">
        <v>10</v>
      </c>
      <c r="AC28" s="190"/>
      <c r="AD28" s="190"/>
      <c r="AE28" s="190"/>
      <c r="AF28" s="190"/>
      <c r="AG28" s="190"/>
      <c r="AH28" s="190"/>
      <c r="AI28" s="190"/>
      <c r="AJ28" s="190"/>
      <c r="AK28" s="191"/>
    </row>
    <row r="29" spans="1:37" x14ac:dyDescent="0.2">
      <c r="A29" s="194"/>
      <c r="C29" s="184"/>
      <c r="D29" s="184"/>
      <c r="E29" s="184"/>
      <c r="F29" s="184"/>
      <c r="G29" s="197"/>
      <c r="H29" s="184"/>
      <c r="I29" s="184"/>
      <c r="J29" s="184"/>
      <c r="K29" s="184"/>
      <c r="L29" s="184"/>
      <c r="M29" s="184"/>
      <c r="N29" s="184"/>
      <c r="O29" s="184"/>
      <c r="P29" s="184"/>
      <c r="T29" s="189"/>
      <c r="U29" s="190"/>
      <c r="V29" s="190" t="s">
        <v>100</v>
      </c>
      <c r="W29" s="190">
        <v>7026</v>
      </c>
      <c r="X29" s="190">
        <v>13456</v>
      </c>
      <c r="Y29" s="190">
        <v>18171</v>
      </c>
      <c r="Z29" s="190">
        <v>24828</v>
      </c>
      <c r="AA29" s="190">
        <v>36543</v>
      </c>
      <c r="AB29" s="190">
        <v>63661</v>
      </c>
      <c r="AC29" s="190"/>
      <c r="AD29" s="190"/>
      <c r="AE29" s="190" t="s">
        <v>108</v>
      </c>
      <c r="AF29" s="190"/>
      <c r="AG29" s="190"/>
      <c r="AH29" s="190"/>
      <c r="AI29" s="190"/>
      <c r="AJ29" s="190"/>
      <c r="AK29" s="191"/>
    </row>
    <row r="30" spans="1:37" ht="20.25" customHeight="1" x14ac:dyDescent="0.2">
      <c r="A30" s="194"/>
      <c r="H30" s="184"/>
      <c r="I30" s="184"/>
      <c r="J30" s="184"/>
      <c r="K30" s="184"/>
      <c r="L30" s="184"/>
      <c r="M30" s="184"/>
      <c r="N30" s="184"/>
      <c r="O30" s="184"/>
      <c r="P30" s="184"/>
      <c r="T30" s="189"/>
      <c r="U30" s="190"/>
      <c r="V30" s="190" t="s">
        <v>102</v>
      </c>
      <c r="W30" s="190" t="s">
        <v>94</v>
      </c>
      <c r="X30" s="190" t="s">
        <v>97</v>
      </c>
      <c r="Y30" s="190" t="s">
        <v>95</v>
      </c>
      <c r="Z30" s="190" t="s">
        <v>98</v>
      </c>
      <c r="AA30" s="190" t="s">
        <v>96</v>
      </c>
      <c r="AB30" s="190" t="s">
        <v>99</v>
      </c>
      <c r="AC30" s="190"/>
      <c r="AD30" s="190"/>
      <c r="AE30" s="190"/>
      <c r="AF30" s="190"/>
      <c r="AG30" s="190"/>
      <c r="AH30" s="190"/>
      <c r="AI30" s="190"/>
      <c r="AJ30" s="190"/>
      <c r="AK30" s="191"/>
    </row>
    <row r="31" spans="1:37" x14ac:dyDescent="0.2">
      <c r="A31" s="194"/>
      <c r="H31" s="184"/>
      <c r="I31" s="184"/>
      <c r="J31" s="184"/>
      <c r="K31" s="184"/>
      <c r="L31" s="184"/>
      <c r="M31" s="184"/>
      <c r="N31" s="184"/>
      <c r="O31" s="184"/>
      <c r="P31" s="184"/>
      <c r="T31" s="189"/>
      <c r="U31" s="190">
        <f>SUM</f>
        <v>15.848643916560039</v>
      </c>
      <c r="V31" s="190" t="s">
        <v>101</v>
      </c>
      <c r="W31" s="190">
        <v>8000</v>
      </c>
      <c r="X31" s="190">
        <v>16000</v>
      </c>
      <c r="Y31" s="190">
        <v>24000</v>
      </c>
      <c r="Z31" s="190">
        <v>30000</v>
      </c>
      <c r="AA31" s="190">
        <v>40000</v>
      </c>
      <c r="AB31" s="190">
        <v>70000</v>
      </c>
      <c r="AC31" s="190"/>
      <c r="AD31" s="190" t="s">
        <v>610</v>
      </c>
      <c r="AE31" s="190"/>
      <c r="AF31" s="190"/>
      <c r="AG31" s="190"/>
      <c r="AH31" s="190"/>
      <c r="AI31" s="190"/>
      <c r="AJ31" s="190"/>
      <c r="AK31" s="191"/>
    </row>
    <row r="32" spans="1:37" ht="22.5" customHeight="1" x14ac:dyDescent="0.2">
      <c r="A32" s="194"/>
      <c r="H32" s="184"/>
      <c r="I32" s="184"/>
      <c r="J32" s="184"/>
      <c r="K32" s="184"/>
      <c r="L32" s="184"/>
      <c r="M32" s="184"/>
      <c r="N32" s="184"/>
      <c r="O32" s="184"/>
      <c r="P32" s="184"/>
      <c r="T32" s="189"/>
      <c r="U32" s="190"/>
      <c r="V32" s="190" t="s">
        <v>103</v>
      </c>
      <c r="W32" s="190">
        <f t="shared" ref="W32:AB32" si="0">-0.0012*(W31/1000)^2+0.3*(W31/1000)+8.5</f>
        <v>10.8232</v>
      </c>
      <c r="X32" s="190">
        <f t="shared" si="0"/>
        <v>12.992799999999999</v>
      </c>
      <c r="Y32" s="190">
        <f t="shared" si="0"/>
        <v>15.008799999999999</v>
      </c>
      <c r="Z32" s="190">
        <f t="shared" si="0"/>
        <v>16.420000000000002</v>
      </c>
      <c r="AA32" s="190">
        <f t="shared" si="0"/>
        <v>18.579999999999998</v>
      </c>
      <c r="AB32" s="190">
        <f t="shared" si="0"/>
        <v>23.62</v>
      </c>
      <c r="AC32" s="190" t="s">
        <v>611</v>
      </c>
      <c r="AD32" s="190"/>
      <c r="AE32" s="190"/>
      <c r="AF32" s="190" t="s">
        <v>669</v>
      </c>
      <c r="AG32" s="190"/>
      <c r="AH32" s="190"/>
      <c r="AI32" s="190"/>
      <c r="AJ32" s="190"/>
      <c r="AK32" s="191"/>
    </row>
    <row r="33" spans="1:37" x14ac:dyDescent="0.2">
      <c r="A33" s="194"/>
      <c r="H33" s="184"/>
      <c r="I33" s="184"/>
      <c r="J33" s="184"/>
      <c r="K33" s="184"/>
      <c r="L33" s="184"/>
      <c r="M33" s="184"/>
      <c r="N33" s="184"/>
      <c r="O33" s="184"/>
      <c r="P33" s="184"/>
      <c r="T33" s="189"/>
      <c r="U33" s="190"/>
      <c r="V33" s="190" t="s">
        <v>1271</v>
      </c>
      <c r="W33" s="190"/>
      <c r="X33" s="190"/>
      <c r="Y33" s="190"/>
      <c r="Z33" s="190"/>
      <c r="AA33" s="190"/>
      <c r="AB33" s="190"/>
      <c r="AC33" s="190"/>
      <c r="AD33" s="190"/>
      <c r="AE33" s="190"/>
      <c r="AF33" s="190" t="s">
        <v>670</v>
      </c>
      <c r="AG33" s="190"/>
      <c r="AH33" s="190"/>
      <c r="AI33" s="190"/>
      <c r="AJ33" s="190"/>
      <c r="AK33" s="191"/>
    </row>
    <row r="34" spans="1:37" x14ac:dyDescent="0.2">
      <c r="A34" s="194"/>
      <c r="H34" s="184"/>
      <c r="I34" s="184"/>
      <c r="J34" s="184"/>
      <c r="K34" s="184"/>
      <c r="L34" s="184"/>
      <c r="M34" s="184"/>
      <c r="N34" s="184"/>
      <c r="O34" s="184"/>
      <c r="P34" s="184"/>
      <c r="T34" s="189"/>
      <c r="U34" s="190"/>
      <c r="V34" s="190" t="s">
        <v>106</v>
      </c>
      <c r="W34" s="190">
        <v>1</v>
      </c>
      <c r="X34" s="190">
        <v>2</v>
      </c>
      <c r="Y34" s="190">
        <v>3</v>
      </c>
      <c r="Z34" s="190">
        <v>4</v>
      </c>
      <c r="AA34" s="190">
        <v>5</v>
      </c>
      <c r="AB34" s="190"/>
      <c r="AC34" s="190"/>
      <c r="AD34" s="190"/>
      <c r="AE34" s="190"/>
      <c r="AF34" s="190"/>
      <c r="AG34" s="190"/>
      <c r="AH34" s="190"/>
      <c r="AI34" s="190"/>
      <c r="AJ34" s="190"/>
      <c r="AK34" s="191"/>
    </row>
    <row r="35" spans="1:37" x14ac:dyDescent="0.2">
      <c r="A35" s="194"/>
      <c r="H35" s="184"/>
      <c r="I35" s="184"/>
      <c r="J35" s="184"/>
      <c r="K35" s="184"/>
      <c r="L35" s="184"/>
      <c r="M35" s="184"/>
      <c r="N35" s="184"/>
      <c r="O35" s="184"/>
      <c r="P35" s="184"/>
      <c r="T35" s="189"/>
      <c r="U35" s="190"/>
      <c r="V35" s="190" t="s">
        <v>107</v>
      </c>
      <c r="W35" s="190">
        <v>18.07</v>
      </c>
      <c r="X35" s="190">
        <v>16.38</v>
      </c>
      <c r="Y35" s="190">
        <v>14.85</v>
      </c>
      <c r="Z35" s="190">
        <v>13.47</v>
      </c>
      <c r="AA35" s="190">
        <v>12.21</v>
      </c>
      <c r="AB35" s="190"/>
      <c r="AC35" s="190"/>
      <c r="AD35" s="190" t="s">
        <v>108</v>
      </c>
      <c r="AE35" s="190"/>
      <c r="AF35" s="190"/>
      <c r="AG35" s="190"/>
      <c r="AH35" s="190"/>
      <c r="AI35" s="190"/>
      <c r="AJ35" s="190"/>
      <c r="AK35" s="191"/>
    </row>
    <row r="36" spans="1:37" x14ac:dyDescent="0.2">
      <c r="A36" s="195"/>
      <c r="H36" s="184"/>
      <c r="I36" s="184"/>
      <c r="J36" s="184"/>
      <c r="K36" s="184"/>
      <c r="L36" s="184"/>
      <c r="M36" s="184"/>
      <c r="N36" s="184"/>
      <c r="O36" s="184"/>
      <c r="P36" s="184"/>
      <c r="T36" s="189"/>
      <c r="U36" s="190"/>
      <c r="V36" s="190"/>
      <c r="W36" s="190"/>
      <c r="X36" s="190"/>
      <c r="Y36" s="190"/>
      <c r="Z36" s="190"/>
      <c r="AA36" s="190"/>
      <c r="AB36" s="190"/>
      <c r="AC36" s="190"/>
      <c r="AD36" s="190"/>
      <c r="AE36" s="190"/>
      <c r="AF36" s="190"/>
      <c r="AG36" s="190"/>
      <c r="AH36" s="190"/>
      <c r="AI36" s="190"/>
      <c r="AJ36" s="190"/>
      <c r="AK36" s="191"/>
    </row>
    <row r="37" spans="1:37" x14ac:dyDescent="0.2">
      <c r="A37" s="184"/>
      <c r="H37" s="184"/>
      <c r="I37" s="184"/>
      <c r="J37" s="184"/>
      <c r="K37" s="184"/>
      <c r="L37" s="184"/>
      <c r="M37" s="184"/>
      <c r="N37" s="184"/>
      <c r="O37" s="184"/>
      <c r="P37" s="184"/>
      <c r="T37" s="189"/>
      <c r="U37" s="190"/>
      <c r="V37" s="190" t="s">
        <v>668</v>
      </c>
      <c r="W37" s="190"/>
      <c r="X37" s="190"/>
      <c r="Y37" s="190"/>
      <c r="Z37" s="190"/>
      <c r="AA37" s="190"/>
      <c r="AB37" s="190"/>
      <c r="AC37" s="190"/>
      <c r="AD37" s="190"/>
      <c r="AE37" s="190"/>
      <c r="AF37" s="190"/>
      <c r="AG37" s="190"/>
      <c r="AH37" s="190"/>
      <c r="AI37" s="190"/>
      <c r="AJ37" s="190"/>
      <c r="AK37" s="191"/>
    </row>
    <row r="38" spans="1:37" x14ac:dyDescent="0.2">
      <c r="A38" s="184"/>
      <c r="H38" s="184"/>
      <c r="I38" s="184"/>
      <c r="J38" s="184"/>
      <c r="K38" s="184"/>
      <c r="L38" s="184"/>
      <c r="M38" s="184"/>
      <c r="N38" s="184"/>
      <c r="O38" s="184"/>
      <c r="P38" s="184"/>
      <c r="T38" s="189"/>
      <c r="U38" s="190"/>
      <c r="V38" s="190"/>
      <c r="W38" s="190"/>
      <c r="X38" s="190"/>
      <c r="Y38" s="190"/>
      <c r="Z38" s="190"/>
      <c r="AA38" s="190"/>
      <c r="AB38" s="190"/>
      <c r="AC38" s="190"/>
      <c r="AD38" s="190"/>
      <c r="AE38" s="190"/>
      <c r="AF38" s="190"/>
      <c r="AG38" s="190"/>
      <c r="AH38" s="190"/>
      <c r="AI38" s="190"/>
      <c r="AJ38" s="190"/>
      <c r="AK38" s="191"/>
    </row>
    <row r="39" spans="1:37" x14ac:dyDescent="0.2">
      <c r="A39" s="184"/>
      <c r="H39" s="184"/>
      <c r="I39" s="184"/>
      <c r="J39" s="184"/>
      <c r="K39" s="184"/>
      <c r="L39" s="183"/>
      <c r="M39" s="201"/>
      <c r="N39" s="184"/>
      <c r="O39" s="184"/>
      <c r="P39" s="184"/>
      <c r="T39" s="189"/>
      <c r="U39" s="190"/>
      <c r="V39" s="190"/>
      <c r="W39" s="190"/>
      <c r="X39" s="190"/>
      <c r="Y39" s="190"/>
      <c r="Z39" s="190"/>
      <c r="AA39" s="190"/>
      <c r="AB39" s="190"/>
      <c r="AC39" s="190"/>
      <c r="AD39" s="190"/>
      <c r="AE39" s="190"/>
      <c r="AF39" s="190"/>
      <c r="AG39" s="190"/>
      <c r="AH39" s="190"/>
      <c r="AI39" s="190"/>
      <c r="AJ39" s="190"/>
      <c r="AK39" s="191"/>
    </row>
    <row r="40" spans="1:37" x14ac:dyDescent="0.2">
      <c r="A40" s="184"/>
      <c r="H40" s="184"/>
      <c r="I40" s="184"/>
      <c r="J40" s="184"/>
      <c r="K40" s="184"/>
      <c r="L40" s="183"/>
      <c r="M40" s="201"/>
      <c r="N40" s="202"/>
      <c r="O40" s="202"/>
      <c r="P40" s="184"/>
      <c r="T40" s="189"/>
      <c r="U40" s="190"/>
      <c r="V40" s="190"/>
      <c r="W40" s="190" t="s">
        <v>613</v>
      </c>
      <c r="X40" s="190"/>
      <c r="Y40" s="190"/>
      <c r="Z40" s="190"/>
      <c r="AA40" s="190" t="s">
        <v>331</v>
      </c>
      <c r="AB40" s="190"/>
      <c r="AC40" s="190"/>
      <c r="AD40" s="190"/>
      <c r="AE40" s="190"/>
      <c r="AF40" s="190" t="s">
        <v>612</v>
      </c>
      <c r="AG40" s="190"/>
      <c r="AH40" s="190"/>
      <c r="AI40" s="190"/>
      <c r="AJ40" s="190"/>
      <c r="AK40" s="191"/>
    </row>
    <row r="41" spans="1:37" x14ac:dyDescent="0.2">
      <c r="A41" s="184"/>
      <c r="H41" s="184"/>
      <c r="I41" s="184"/>
      <c r="J41" s="184"/>
      <c r="K41" s="184"/>
      <c r="L41" s="183"/>
      <c r="M41" s="201"/>
      <c r="N41" s="202"/>
      <c r="O41" s="202"/>
      <c r="P41" s="184"/>
      <c r="T41" s="189"/>
      <c r="U41" s="190"/>
      <c r="V41" s="190"/>
      <c r="W41" s="190"/>
      <c r="X41" s="190"/>
      <c r="Y41" s="190"/>
      <c r="Z41" s="190"/>
      <c r="AA41" s="190"/>
      <c r="AB41" s="190"/>
      <c r="AC41" s="190"/>
      <c r="AD41" s="190"/>
      <c r="AE41" s="190"/>
      <c r="AF41" s="190"/>
      <c r="AG41" s="190"/>
      <c r="AH41" s="190"/>
      <c r="AI41" s="190"/>
      <c r="AJ41" s="190"/>
      <c r="AK41" s="191"/>
    </row>
    <row r="42" spans="1:37" ht="23.25" customHeight="1" thickBot="1" x14ac:dyDescent="0.25">
      <c r="A42" s="184"/>
      <c r="H42" s="184"/>
      <c r="I42" s="184"/>
      <c r="J42" s="184"/>
      <c r="K42" s="184"/>
      <c r="L42" s="183"/>
      <c r="M42" s="201"/>
      <c r="N42" s="202"/>
      <c r="O42" s="202"/>
      <c r="P42" s="184"/>
      <c r="T42" s="189"/>
      <c r="U42" s="190"/>
      <c r="V42" s="190"/>
      <c r="W42" s="190"/>
      <c r="X42" s="190"/>
      <c r="Y42" s="190"/>
      <c r="Z42" s="190"/>
      <c r="AA42" s="190"/>
      <c r="AB42" s="190"/>
      <c r="AC42" s="190"/>
      <c r="AD42" s="190"/>
      <c r="AE42" s="190"/>
      <c r="AF42" s="190"/>
      <c r="AG42" s="190"/>
      <c r="AH42" s="190"/>
      <c r="AI42" s="190"/>
      <c r="AJ42" s="190"/>
      <c r="AK42" s="191"/>
    </row>
    <row r="43" spans="1:37" ht="15" x14ac:dyDescent="0.2">
      <c r="A43" s="184"/>
      <c r="H43" s="184"/>
      <c r="I43" s="184"/>
      <c r="J43" s="184"/>
      <c r="T43" s="189"/>
      <c r="U43" s="190"/>
      <c r="V43" s="203" t="s">
        <v>52</v>
      </c>
      <c r="W43" s="78" t="s">
        <v>1525</v>
      </c>
      <c r="X43" s="190"/>
      <c r="Y43" s="190"/>
      <c r="Z43" s="190"/>
      <c r="AA43" s="204">
        <v>0</v>
      </c>
      <c r="AB43" s="192" t="s">
        <v>222</v>
      </c>
      <c r="AC43" s="192" t="s">
        <v>229</v>
      </c>
      <c r="AD43" s="196">
        <f>(4.25*INCSCORE^-0.15)*EXP(PUBCO*(AVHH-PEOPLE))</f>
        <v>2.6223939165600409</v>
      </c>
      <c r="AE43" s="205">
        <v>2.63</v>
      </c>
      <c r="AF43" s="190" t="s">
        <v>1031</v>
      </c>
      <c r="AG43" s="190"/>
      <c r="AH43" s="190"/>
      <c r="AI43" s="190"/>
      <c r="AJ43" s="190">
        <v>2.63</v>
      </c>
      <c r="AK43" s="191"/>
    </row>
    <row r="44" spans="1:37" x14ac:dyDescent="0.2">
      <c r="A44" s="184"/>
      <c r="H44" s="184"/>
      <c r="I44" s="184"/>
      <c r="J44" s="184"/>
      <c r="T44" s="189"/>
      <c r="U44" s="190"/>
      <c r="V44" s="203" t="s">
        <v>655</v>
      </c>
      <c r="W44" s="190"/>
      <c r="X44" s="190"/>
      <c r="Y44" s="190"/>
      <c r="Z44" s="190"/>
      <c r="AA44" s="206">
        <v>0</v>
      </c>
      <c r="AB44" s="192" t="s">
        <v>656</v>
      </c>
      <c r="AC44" s="192" t="s">
        <v>657</v>
      </c>
      <c r="AD44" s="193">
        <f>(0.04*INCSCORE+0.6)*EXP(BUSCO*OCCNORM)</f>
        <v>1.6</v>
      </c>
      <c r="AE44" s="190">
        <v>1.59</v>
      </c>
      <c r="AF44" s="190" t="s">
        <v>659</v>
      </c>
      <c r="AG44" s="190"/>
      <c r="AH44" s="190" t="s">
        <v>658</v>
      </c>
      <c r="AI44" s="190"/>
      <c r="AJ44" s="190">
        <v>4.3899999999999997</v>
      </c>
      <c r="AK44" s="191"/>
    </row>
    <row r="45" spans="1:37" x14ac:dyDescent="0.2">
      <c r="A45" s="184"/>
      <c r="H45" s="184"/>
      <c r="I45" s="184"/>
      <c r="J45" s="184"/>
      <c r="T45" s="189"/>
      <c r="U45" s="190"/>
      <c r="V45" s="203"/>
      <c r="W45" s="190"/>
      <c r="X45" s="190"/>
      <c r="Y45" s="190"/>
      <c r="Z45" s="190"/>
      <c r="AA45" s="193"/>
      <c r="AB45" s="192"/>
      <c r="AC45" s="192"/>
      <c r="AD45" s="193"/>
      <c r="AE45" s="190"/>
      <c r="AF45" s="190"/>
      <c r="AG45" s="190"/>
      <c r="AH45" s="190"/>
      <c r="AI45" s="190"/>
      <c r="AJ45" s="190"/>
      <c r="AK45" s="191"/>
    </row>
    <row r="46" spans="1:37" x14ac:dyDescent="0.2">
      <c r="A46" s="184"/>
      <c r="H46" s="184"/>
      <c r="I46" s="184"/>
      <c r="J46" s="184"/>
      <c r="T46" s="189"/>
      <c r="U46" s="190"/>
      <c r="V46" s="203"/>
      <c r="W46" s="190"/>
      <c r="X46" s="190"/>
      <c r="Y46" s="190"/>
      <c r="Z46" s="190"/>
      <c r="AA46" s="193"/>
      <c r="AB46" s="192"/>
      <c r="AC46" s="192"/>
      <c r="AD46" s="193"/>
      <c r="AE46" s="190"/>
      <c r="AF46" s="190"/>
      <c r="AG46" s="190"/>
      <c r="AH46" s="190"/>
      <c r="AI46" s="190"/>
      <c r="AJ46" s="190"/>
      <c r="AK46" s="191"/>
    </row>
    <row r="47" spans="1:37" ht="19.5" customHeight="1" x14ac:dyDescent="0.2">
      <c r="A47" s="184"/>
      <c r="H47" s="184"/>
      <c r="I47" s="184"/>
      <c r="J47" s="184"/>
      <c r="T47" s="189"/>
      <c r="U47" s="190"/>
      <c r="V47" s="203" t="s">
        <v>199</v>
      </c>
      <c r="W47" s="78" t="s">
        <v>215</v>
      </c>
      <c r="X47" s="190"/>
      <c r="Y47" s="190"/>
      <c r="Z47" s="190"/>
      <c r="AA47" s="207">
        <v>0.08</v>
      </c>
      <c r="AB47" s="192" t="s">
        <v>223</v>
      </c>
      <c r="AC47" s="192" t="s">
        <v>230</v>
      </c>
      <c r="AD47" s="196">
        <f>(0.05*INCSCORE+0.45)*(EXP(SERVCO*(AVHH-PEOPLE)))</f>
        <v>1.7</v>
      </c>
      <c r="AE47" s="205">
        <v>1.7</v>
      </c>
      <c r="AF47" s="190" t="s">
        <v>660</v>
      </c>
      <c r="AG47" s="190"/>
      <c r="AH47" s="190"/>
      <c r="AI47" s="190"/>
      <c r="AJ47" s="205">
        <v>3</v>
      </c>
      <c r="AK47" s="191"/>
    </row>
    <row r="48" spans="1:37" ht="15" x14ac:dyDescent="0.2">
      <c r="A48" s="184"/>
      <c r="H48" s="184"/>
      <c r="I48" s="184"/>
      <c r="J48" s="184"/>
      <c r="T48" s="189"/>
      <c r="U48" s="190"/>
      <c r="V48" s="203" t="s">
        <v>200</v>
      </c>
      <c r="W48" s="78" t="s">
        <v>1526</v>
      </c>
      <c r="X48" s="190"/>
      <c r="Y48" s="190"/>
      <c r="Z48" s="190"/>
      <c r="AA48" s="207">
        <v>0.2</v>
      </c>
      <c r="AB48" s="192" t="s">
        <v>224</v>
      </c>
      <c r="AC48" s="192" t="s">
        <v>231</v>
      </c>
      <c r="AD48" s="196">
        <f>(-0.0003*INCSCORE^2+0.04*INCSCORE+0.3)*EXP(GOODSCO*(AVHH-PEOPLE))</f>
        <v>1.1125</v>
      </c>
      <c r="AE48" s="205">
        <v>1.1000000000000001</v>
      </c>
      <c r="AF48" s="205" t="s">
        <v>662</v>
      </c>
      <c r="AG48" s="190"/>
      <c r="AH48" s="190"/>
      <c r="AI48" s="190"/>
      <c r="AJ48" s="205">
        <v>3.37</v>
      </c>
      <c r="AK48" s="191"/>
    </row>
    <row r="49" spans="1:37" x14ac:dyDescent="0.2">
      <c r="A49" s="184"/>
      <c r="H49" s="184"/>
      <c r="I49" s="184"/>
      <c r="J49" s="184"/>
      <c r="T49" s="190"/>
      <c r="U49" s="190"/>
      <c r="V49" s="203"/>
      <c r="W49" s="78"/>
      <c r="X49" s="190"/>
      <c r="Y49" s="190"/>
      <c r="Z49" s="190"/>
      <c r="AA49" s="193"/>
      <c r="AB49" s="192"/>
      <c r="AC49" s="192"/>
      <c r="AD49" s="196"/>
      <c r="AE49" s="205"/>
      <c r="AF49" s="205"/>
      <c r="AG49" s="190"/>
      <c r="AH49" s="190"/>
      <c r="AI49" s="190"/>
      <c r="AJ49" s="205"/>
      <c r="AK49" s="190"/>
    </row>
    <row r="50" spans="1:37" x14ac:dyDescent="0.2">
      <c r="A50" s="184"/>
      <c r="H50" s="184"/>
      <c r="I50" s="184"/>
      <c r="J50" s="184"/>
    </row>
    <row r="51" spans="1:37" x14ac:dyDescent="0.2">
      <c r="A51" s="184"/>
      <c r="H51" s="184"/>
      <c r="I51" s="184"/>
      <c r="J51" s="184"/>
      <c r="T51" s="189"/>
      <c r="U51" s="190"/>
      <c r="V51" s="203"/>
      <c r="W51" s="78"/>
      <c r="X51" s="190"/>
      <c r="Y51" s="190"/>
      <c r="Z51" s="190"/>
      <c r="AA51" s="207"/>
      <c r="AB51" s="192"/>
      <c r="AC51" s="192"/>
      <c r="AD51" s="196"/>
      <c r="AE51" s="205"/>
      <c r="AF51" s="205"/>
      <c r="AG51" s="190"/>
      <c r="AH51" s="190"/>
      <c r="AI51" s="190"/>
      <c r="AJ51" s="205"/>
      <c r="AK51" s="191"/>
    </row>
    <row r="52" spans="1:37" ht="15" x14ac:dyDescent="0.2">
      <c r="A52" s="184"/>
      <c r="H52" s="184"/>
      <c r="I52" s="184"/>
      <c r="J52" s="184"/>
      <c r="T52" s="189"/>
      <c r="U52" s="190"/>
      <c r="V52" s="203" t="s">
        <v>39</v>
      </c>
      <c r="W52" s="78" t="s">
        <v>1527</v>
      </c>
      <c r="X52" s="190"/>
      <c r="Y52" s="190"/>
      <c r="Z52" s="190"/>
      <c r="AA52" s="207">
        <v>0.1</v>
      </c>
      <c r="AB52" s="192" t="s">
        <v>225</v>
      </c>
      <c r="AC52" s="192" t="s">
        <v>232</v>
      </c>
      <c r="AD52" s="196">
        <f>(-0.000418*INCSCORE^2+0.059*INCSCORE+1.8)*(EXP(FOODCO*(AVHH-PEOPLE)))</f>
        <v>3.0137499999999999</v>
      </c>
      <c r="AE52" s="205">
        <v>3</v>
      </c>
      <c r="AF52" s="190" t="s">
        <v>661</v>
      </c>
      <c r="AG52" s="190"/>
      <c r="AH52" s="190"/>
      <c r="AI52" s="190"/>
      <c r="AJ52" s="205">
        <v>2.4695652173913043</v>
      </c>
      <c r="AK52" s="191"/>
    </row>
    <row r="53" spans="1:37" ht="15" x14ac:dyDescent="0.2">
      <c r="A53" s="184"/>
      <c r="H53" s="184"/>
      <c r="I53" s="184"/>
      <c r="J53" s="184"/>
      <c r="T53" s="189"/>
      <c r="U53" s="190"/>
      <c r="V53" s="203" t="s">
        <v>113</v>
      </c>
      <c r="W53" s="78" t="s">
        <v>1528</v>
      </c>
      <c r="X53" s="190"/>
      <c r="Y53" s="190"/>
      <c r="Z53" s="190"/>
      <c r="AA53" s="207">
        <v>0.03</v>
      </c>
      <c r="AB53" s="192" t="s">
        <v>226</v>
      </c>
      <c r="AC53" s="192" t="s">
        <v>233</v>
      </c>
      <c r="AD53" s="196">
        <f>(-0.0008*INCSCORE^2+0.14*INCSCORE+0.35)*EXP(TRAVCO*(AVHH-PEOPLE))</f>
        <v>3.3500000000000005</v>
      </c>
      <c r="AE53" s="205">
        <v>3.37</v>
      </c>
      <c r="AF53" s="205" t="s">
        <v>1127</v>
      </c>
      <c r="AG53" s="190"/>
      <c r="AH53" s="190"/>
      <c r="AI53" s="190"/>
      <c r="AJ53" s="190"/>
      <c r="AK53" s="191"/>
    </row>
    <row r="54" spans="1:37" ht="13.5" thickBot="1" x14ac:dyDescent="0.25">
      <c r="A54" s="184"/>
      <c r="C54" s="184"/>
      <c r="D54" s="184"/>
      <c r="E54" s="184"/>
      <c r="F54" s="184"/>
      <c r="G54" s="184"/>
      <c r="H54" s="184"/>
      <c r="I54" s="184"/>
      <c r="J54" s="184"/>
      <c r="T54" s="189"/>
      <c r="U54" s="190"/>
      <c r="V54" s="203" t="s">
        <v>201</v>
      </c>
      <c r="W54" s="78" t="s">
        <v>210</v>
      </c>
      <c r="X54" s="190"/>
      <c r="Y54" s="190"/>
      <c r="Z54" s="190"/>
      <c r="AA54" s="208">
        <v>0.25</v>
      </c>
      <c r="AB54" s="192" t="s">
        <v>227</v>
      </c>
      <c r="AC54" s="192" t="s">
        <v>234</v>
      </c>
      <c r="AD54" s="196">
        <f>(0.026*INCSCORE+1.8)*(EXP(HECO*(AVHH-PEOPLE)))</f>
        <v>2.4500000000000002</v>
      </c>
      <c r="AE54" s="205">
        <v>2.4695652173913043</v>
      </c>
      <c r="AF54" s="190" t="s">
        <v>614</v>
      </c>
      <c r="AG54" s="190"/>
      <c r="AH54" s="190"/>
      <c r="AI54" s="190"/>
      <c r="AJ54" s="190"/>
      <c r="AK54" s="191"/>
    </row>
    <row r="55" spans="1:37" ht="13.5" thickBot="1" x14ac:dyDescent="0.25">
      <c r="A55" s="184"/>
      <c r="C55" s="184"/>
      <c r="D55" s="184"/>
      <c r="E55" s="184"/>
      <c r="F55" s="184"/>
      <c r="G55" s="184"/>
      <c r="H55" s="184"/>
      <c r="I55" s="184"/>
      <c r="J55" s="184"/>
      <c r="K55" s="184"/>
      <c r="L55" s="184"/>
      <c r="M55" s="184"/>
      <c r="N55" s="184"/>
      <c r="O55" s="184"/>
      <c r="P55" s="184"/>
      <c r="T55" s="209"/>
      <c r="U55" s="210"/>
      <c r="V55" s="210"/>
      <c r="W55" s="210"/>
      <c r="X55" s="210"/>
      <c r="Y55" s="210"/>
      <c r="Z55" s="210"/>
      <c r="AA55" s="210"/>
      <c r="AB55" s="210"/>
      <c r="AC55" s="210"/>
      <c r="AD55" s="211">
        <f>SUM(AD43:AD54)</f>
        <v>15.848643916560039</v>
      </c>
      <c r="AE55" s="211">
        <f>SUM(AE43:AE54)</f>
        <v>15.859565217391305</v>
      </c>
      <c r="AF55" s="211" t="s">
        <v>667</v>
      </c>
      <c r="AG55" s="210"/>
      <c r="AH55" s="210"/>
      <c r="AI55" s="210"/>
      <c r="AJ55" s="210"/>
      <c r="AK55" s="212"/>
    </row>
    <row r="56" spans="1:37" x14ac:dyDescent="0.2">
      <c r="A56" s="184"/>
      <c r="C56" s="184"/>
      <c r="D56" s="184"/>
      <c r="E56" s="184"/>
      <c r="F56" s="184"/>
      <c r="G56" s="184"/>
      <c r="H56" s="184"/>
      <c r="I56" s="184"/>
      <c r="J56" s="184"/>
      <c r="K56" s="184"/>
      <c r="L56" s="184"/>
      <c r="M56" s="184"/>
      <c r="N56" s="184"/>
      <c r="O56" s="184"/>
      <c r="P56" s="184"/>
    </row>
    <row r="57" spans="1:37" x14ac:dyDescent="0.2">
      <c r="A57" s="184"/>
      <c r="C57" s="184"/>
      <c r="D57" s="184"/>
      <c r="E57" s="184"/>
      <c r="F57" s="184"/>
      <c r="G57" s="184"/>
      <c r="H57" s="184"/>
      <c r="I57" s="184"/>
      <c r="J57" s="184"/>
      <c r="K57" s="184"/>
      <c r="L57" s="184"/>
      <c r="M57" s="184"/>
      <c r="N57" s="184"/>
      <c r="R57" s="184">
        <f>IF(SEQUESTRATIONV="No sequestration", 0,IF(SEQUESTRATIONV="UK sequestration with reforestation 50Mt",0.8,IF(SEQUESTRATIONV="UK sequestration with extensive miscanthus 80Mt",1.2,IF(SEQUESTRATIONV="Overseas sequestration credits 150Mt",2.4))))</f>
        <v>0</v>
      </c>
      <c r="S57" s="183" t="s">
        <v>1287</v>
      </c>
      <c r="T57" s="201"/>
      <c r="U57" s="202"/>
      <c r="V57" s="184"/>
      <c r="W57" s="184"/>
    </row>
    <row r="58" spans="1:37" x14ac:dyDescent="0.2">
      <c r="A58" s="184"/>
      <c r="B58" s="183"/>
      <c r="C58" s="184"/>
      <c r="D58" s="184"/>
      <c r="E58" s="184"/>
      <c r="F58" s="184"/>
      <c r="G58" s="184"/>
      <c r="H58" s="184"/>
      <c r="I58" s="184"/>
      <c r="J58" s="184"/>
      <c r="K58" s="184"/>
      <c r="L58" s="184"/>
      <c r="M58" s="184"/>
      <c r="N58" s="184"/>
      <c r="R58" s="184" t="s">
        <v>1137</v>
      </c>
      <c r="S58" s="183"/>
      <c r="T58" s="201"/>
      <c r="U58" s="202"/>
      <c r="V58" s="202"/>
      <c r="W58" s="184"/>
    </row>
    <row r="59" spans="1:37" x14ac:dyDescent="0.2">
      <c r="A59" s="184"/>
      <c r="B59" s="183"/>
      <c r="C59" s="184"/>
      <c r="D59" s="184"/>
      <c r="E59" s="184"/>
      <c r="F59" s="184"/>
      <c r="G59" s="184"/>
      <c r="H59" s="184"/>
      <c r="I59" s="184"/>
      <c r="J59" s="184"/>
      <c r="K59" s="184"/>
      <c r="L59" s="184"/>
      <c r="M59" s="184"/>
      <c r="N59" s="184"/>
      <c r="R59" s="184" t="s">
        <v>1284</v>
      </c>
      <c r="S59" s="183"/>
      <c r="T59" s="201"/>
      <c r="U59" s="202"/>
      <c r="V59" s="202"/>
      <c r="W59" s="184"/>
      <c r="X59" s="181">
        <v>0.8</v>
      </c>
    </row>
    <row r="60" spans="1:37" x14ac:dyDescent="0.2">
      <c r="A60" s="184"/>
      <c r="B60" s="183"/>
      <c r="C60" s="184"/>
      <c r="D60" s="184"/>
      <c r="E60" s="184"/>
      <c r="F60" s="184"/>
      <c r="G60" s="184"/>
      <c r="H60" s="184"/>
      <c r="I60" s="184"/>
      <c r="J60" s="184"/>
      <c r="K60" s="184"/>
      <c r="L60" s="184"/>
      <c r="M60" s="184"/>
      <c r="N60" s="184"/>
      <c r="R60" s="184" t="s">
        <v>1285</v>
      </c>
      <c r="S60" s="183"/>
      <c r="T60" s="201"/>
      <c r="U60" s="202"/>
      <c r="V60" s="202"/>
      <c r="W60" s="184"/>
      <c r="X60" s="181">
        <v>1.3</v>
      </c>
    </row>
    <row r="61" spans="1:37" x14ac:dyDescent="0.2">
      <c r="R61" s="184" t="s">
        <v>1286</v>
      </c>
      <c r="S61" s="183"/>
      <c r="T61" s="201"/>
      <c r="U61" s="202"/>
      <c r="V61" s="202"/>
      <c r="W61" s="184"/>
      <c r="X61" s="181">
        <v>2.4</v>
      </c>
    </row>
    <row r="62" spans="1:37" x14ac:dyDescent="0.2">
      <c r="R62" s="184"/>
      <c r="S62" s="183"/>
      <c r="T62" s="201"/>
      <c r="U62" s="202"/>
      <c r="V62" s="202"/>
      <c r="W62" s="184"/>
    </row>
    <row r="63" spans="1:37" x14ac:dyDescent="0.2">
      <c r="R63" s="197" t="s">
        <v>1027</v>
      </c>
      <c r="S63" s="202">
        <f>-(B17/10*INCSCORE)/PEOPLE</f>
        <v>0</v>
      </c>
      <c r="T63" s="197" t="s">
        <v>1029</v>
      </c>
      <c r="U63" s="184"/>
      <c r="V63" s="184"/>
      <c r="W63" s="184"/>
    </row>
    <row r="64" spans="1:37" x14ac:dyDescent="0.2">
      <c r="R64" s="184"/>
      <c r="S64" s="183"/>
      <c r="T64" s="201"/>
      <c r="U64" s="202"/>
      <c r="V64" s="202"/>
      <c r="W64" s="184"/>
    </row>
    <row r="65" spans="2:25" x14ac:dyDescent="0.2">
      <c r="R65" s="184"/>
      <c r="S65" s="183"/>
      <c r="T65" s="201"/>
      <c r="U65" s="202"/>
      <c r="V65" s="202"/>
      <c r="W65" s="184"/>
      <c r="Y65" s="184" t="s">
        <v>1133</v>
      </c>
    </row>
    <row r="66" spans="2:25" x14ac:dyDescent="0.2">
      <c r="R66" s="184"/>
      <c r="S66" s="183"/>
      <c r="T66" s="184"/>
      <c r="U66" s="184"/>
      <c r="V66" s="184"/>
      <c r="W66" s="184"/>
      <c r="Y66" s="184" t="s">
        <v>1131</v>
      </c>
    </row>
    <row r="67" spans="2:25" x14ac:dyDescent="0.2">
      <c r="R67" s="184"/>
      <c r="S67" s="183"/>
      <c r="T67" s="184"/>
      <c r="U67" s="213"/>
      <c r="V67" s="202"/>
      <c r="W67" s="184"/>
      <c r="Y67" s="184" t="s">
        <v>1132</v>
      </c>
    </row>
    <row r="68" spans="2:25" x14ac:dyDescent="0.2">
      <c r="P68" s="214"/>
    </row>
    <row r="75" spans="2:25" x14ac:dyDescent="0.2">
      <c r="C75" s="181" t="s">
        <v>235</v>
      </c>
      <c r="D75" s="181" t="s">
        <v>236</v>
      </c>
      <c r="E75" s="181" t="s">
        <v>238</v>
      </c>
      <c r="F75" s="215" t="s">
        <v>237</v>
      </c>
      <c r="G75" s="215" t="s">
        <v>239</v>
      </c>
    </row>
    <row r="76" spans="2:25" x14ac:dyDescent="0.2">
      <c r="B76" s="182" t="s">
        <v>52</v>
      </c>
      <c r="C76" s="181">
        <v>2.3256630405176959</v>
      </c>
      <c r="D76" s="181">
        <v>2.3256630405176959</v>
      </c>
      <c r="E76" s="214">
        <v>2.5370967741935484</v>
      </c>
      <c r="F76" s="181">
        <v>1.9448460646967296</v>
      </c>
      <c r="G76" s="181">
        <v>1.9448460646967296</v>
      </c>
    </row>
    <row r="77" spans="2:25" x14ac:dyDescent="0.2">
      <c r="B77" s="182" t="s">
        <v>199</v>
      </c>
      <c r="C77" s="181">
        <v>1.1292114431406086</v>
      </c>
      <c r="D77" s="181">
        <v>1.4355090876257059</v>
      </c>
      <c r="E77" s="214">
        <v>1.8844628387096778</v>
      </c>
      <c r="F77" s="181">
        <v>2.0950068304947753</v>
      </c>
      <c r="G77" s="181">
        <v>2.6632756531840225</v>
      </c>
    </row>
    <row r="78" spans="2:25" x14ac:dyDescent="0.2">
      <c r="B78" s="182" t="s">
        <v>200</v>
      </c>
      <c r="C78" s="181">
        <v>1.0781477318148138</v>
      </c>
      <c r="D78" s="181">
        <v>2.282438766162878</v>
      </c>
      <c r="E78" s="214">
        <v>2.2581273548387095</v>
      </c>
      <c r="F78" s="181">
        <v>2.0870523558915997</v>
      </c>
      <c r="G78" s="181">
        <v>4.4182898720940376</v>
      </c>
    </row>
    <row r="79" spans="2:25" x14ac:dyDescent="0.2">
      <c r="B79" s="182" t="s">
        <v>39</v>
      </c>
      <c r="C79" s="181">
        <v>1.9037390225792519</v>
      </c>
      <c r="D79" s="181">
        <v>2.728685138709193</v>
      </c>
      <c r="E79" s="214">
        <v>2.7483870967741937</v>
      </c>
      <c r="F79" s="181">
        <v>2.5498378900820646</v>
      </c>
      <c r="G79" s="181">
        <v>3.6547576502150987</v>
      </c>
    </row>
    <row r="80" spans="2:25" x14ac:dyDescent="0.2">
      <c r="B80" s="182" t="s">
        <v>113</v>
      </c>
      <c r="C80" s="181">
        <v>2.1881260043109467</v>
      </c>
      <c r="D80" s="181">
        <v>2.5422397192126729</v>
      </c>
      <c r="E80" s="214">
        <v>3.1838709677419357</v>
      </c>
      <c r="F80" s="181">
        <v>4.5329042334981215</v>
      </c>
      <c r="G80" s="181">
        <v>5.266483357486119</v>
      </c>
    </row>
    <row r="81" spans="2:7" x14ac:dyDescent="0.2">
      <c r="B81" s="182" t="s">
        <v>201</v>
      </c>
      <c r="C81" s="181">
        <v>1.0861162385512937</v>
      </c>
      <c r="D81" s="181">
        <v>2.2993080950563844</v>
      </c>
      <c r="E81" s="214">
        <v>2.403225806451613</v>
      </c>
      <c r="F81" s="181">
        <v>1.3898946760485291</v>
      </c>
      <c r="G81" s="181">
        <v>2.9424070522846035</v>
      </c>
    </row>
  </sheetData>
  <mergeCells count="5">
    <mergeCell ref="B13:C13"/>
    <mergeCell ref="B2:D2"/>
    <mergeCell ref="B6:D6"/>
    <mergeCell ref="B15:D15"/>
    <mergeCell ref="B16:D16"/>
  </mergeCells>
  <dataValidations count="4">
    <dataValidation type="list" allowBlank="1" showInputMessage="1" showErrorMessage="1" sqref="B11">
      <formula1>YES</formula1>
    </dataValidation>
    <dataValidation type="whole" allowBlank="1" showInputMessage="1" showErrorMessage="1" sqref="B7">
      <formula1>0</formula1>
      <formula2>80</formula2>
    </dataValidation>
    <dataValidation type="whole" allowBlank="1" showInputMessage="1" showErrorMessage="1" sqref="B5">
      <formula1>0</formula1>
      <formula2>90</formula2>
    </dataValidation>
    <dataValidation type="list" allowBlank="1" showInputMessage="1" showErrorMessage="1" sqref="B13">
      <formula1>$R$58:$R$61</formula1>
    </dataValidation>
  </dataValidation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6"/>
  <sheetViews>
    <sheetView workbookViewId="0">
      <selection activeCell="J20" sqref="J20"/>
    </sheetView>
  </sheetViews>
  <sheetFormatPr defaultRowHeight="15" x14ac:dyDescent="0.25"/>
  <sheetData>
    <row r="3" spans="2:13" x14ac:dyDescent="0.25">
      <c r="B3" t="s">
        <v>1387</v>
      </c>
      <c r="M3" t="s">
        <v>1391</v>
      </c>
    </row>
    <row r="4" spans="2:13" x14ac:dyDescent="0.25">
      <c r="B4" t="s">
        <v>1388</v>
      </c>
      <c r="M4" t="s">
        <v>1275</v>
      </c>
    </row>
    <row r="5" spans="2:13" x14ac:dyDescent="0.25">
      <c r="B5" t="s">
        <v>1389</v>
      </c>
    </row>
    <row r="6" spans="2:13" x14ac:dyDescent="0.25">
      <c r="B6" t="s">
        <v>1390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03"/>
  <sheetViews>
    <sheetView topLeftCell="A66" workbookViewId="0">
      <selection activeCell="K78" sqref="K78:K81"/>
    </sheetView>
  </sheetViews>
  <sheetFormatPr defaultRowHeight="15" x14ac:dyDescent="0.25"/>
  <sheetData>
    <row r="2" spans="2:15" x14ac:dyDescent="0.25">
      <c r="J2" t="s">
        <v>1054</v>
      </c>
    </row>
    <row r="3" spans="2:15" x14ac:dyDescent="0.25">
      <c r="B3" t="s">
        <v>1052</v>
      </c>
      <c r="J3" t="s">
        <v>1056</v>
      </c>
      <c r="K3" t="s">
        <v>1055</v>
      </c>
    </row>
    <row r="4" spans="2:15" x14ac:dyDescent="0.25">
      <c r="J4" t="s">
        <v>1057</v>
      </c>
      <c r="K4" s="82" t="s">
        <v>389</v>
      </c>
      <c r="N4" t="s">
        <v>1056</v>
      </c>
      <c r="O4" t="s">
        <v>1055</v>
      </c>
    </row>
    <row r="5" spans="2:15" x14ac:dyDescent="0.25">
      <c r="B5" s="6" t="s">
        <v>616</v>
      </c>
      <c r="C5" s="6"/>
      <c r="D5" s="6"/>
      <c r="E5" s="6"/>
      <c r="K5" s="82" t="s">
        <v>388</v>
      </c>
    </row>
    <row r="6" spans="2:15" x14ac:dyDescent="0.25">
      <c r="B6" s="6" t="s">
        <v>1048</v>
      </c>
      <c r="C6" s="6"/>
      <c r="D6" s="6"/>
      <c r="E6" s="6"/>
      <c r="K6" s="82" t="s">
        <v>1349</v>
      </c>
      <c r="N6" t="s">
        <v>1082</v>
      </c>
      <c r="O6" s="82" t="s">
        <v>1002</v>
      </c>
    </row>
    <row r="7" spans="2:15" x14ac:dyDescent="0.25">
      <c r="B7" s="6"/>
      <c r="C7" s="6"/>
      <c r="D7" s="6" t="s">
        <v>618</v>
      </c>
      <c r="E7" s="6" t="s">
        <v>619</v>
      </c>
      <c r="O7" s="82" t="s">
        <v>992</v>
      </c>
    </row>
    <row r="8" spans="2:15" x14ac:dyDescent="0.25">
      <c r="B8" s="6" t="s">
        <v>617</v>
      </c>
      <c r="C8" s="6"/>
      <c r="D8" s="6">
        <v>1500</v>
      </c>
      <c r="E8" s="6" t="s">
        <v>620</v>
      </c>
      <c r="J8" t="s">
        <v>1058</v>
      </c>
      <c r="K8" s="83" t="s">
        <v>94</v>
      </c>
      <c r="O8" s="82" t="s">
        <v>423</v>
      </c>
    </row>
    <row r="9" spans="2:15" x14ac:dyDescent="0.25">
      <c r="B9" s="6" t="s">
        <v>621</v>
      </c>
      <c r="C9" s="6"/>
      <c r="D9" s="6">
        <v>1000</v>
      </c>
      <c r="E9" s="6" t="s">
        <v>622</v>
      </c>
      <c r="K9" s="83" t="s">
        <v>97</v>
      </c>
    </row>
    <row r="10" spans="2:15" x14ac:dyDescent="0.25">
      <c r="B10" s="6" t="s">
        <v>623</v>
      </c>
      <c r="C10" s="6"/>
      <c r="D10" s="6">
        <v>63</v>
      </c>
      <c r="E10" s="6" t="s">
        <v>624</v>
      </c>
      <c r="K10" s="83" t="s">
        <v>95</v>
      </c>
    </row>
    <row r="11" spans="2:15" x14ac:dyDescent="0.25">
      <c r="B11" s="6" t="s">
        <v>625</v>
      </c>
      <c r="C11" s="6"/>
      <c r="D11" s="6">
        <v>2.2999999999999998</v>
      </c>
      <c r="E11" s="6"/>
      <c r="K11" s="83" t="s">
        <v>98</v>
      </c>
      <c r="N11" s="51" t="s">
        <v>1083</v>
      </c>
      <c r="O11" s="82" t="s">
        <v>995</v>
      </c>
    </row>
    <row r="12" spans="2:15" x14ac:dyDescent="0.25">
      <c r="B12" s="6" t="s">
        <v>626</v>
      </c>
      <c r="C12" s="6"/>
      <c r="D12" s="6">
        <v>27.4</v>
      </c>
      <c r="E12" s="6"/>
      <c r="K12" s="83" t="s">
        <v>96</v>
      </c>
      <c r="O12" s="82" t="s">
        <v>996</v>
      </c>
    </row>
    <row r="13" spans="2:15" x14ac:dyDescent="0.25">
      <c r="B13" s="6" t="s">
        <v>628</v>
      </c>
      <c r="C13" s="6"/>
      <c r="D13" s="6">
        <v>36.5</v>
      </c>
      <c r="E13" s="6" t="s">
        <v>627</v>
      </c>
      <c r="K13" s="83" t="s">
        <v>99</v>
      </c>
      <c r="O13" s="82" t="s">
        <v>1006</v>
      </c>
    </row>
    <row r="14" spans="2:15" x14ac:dyDescent="0.25">
      <c r="B14" s="6" t="s">
        <v>629</v>
      </c>
      <c r="C14" s="6"/>
      <c r="D14" s="6">
        <v>15.9</v>
      </c>
      <c r="E14" s="6"/>
    </row>
    <row r="15" spans="2:15" ht="15.75" x14ac:dyDescent="0.25">
      <c r="B15" s="6" t="s">
        <v>1032</v>
      </c>
      <c r="C15" s="6"/>
      <c r="D15" s="73">
        <v>24000</v>
      </c>
      <c r="E15" s="6" t="s">
        <v>1033</v>
      </c>
      <c r="J15" t="s">
        <v>1059</v>
      </c>
      <c r="K15" s="84" t="s">
        <v>557</v>
      </c>
    </row>
    <row r="16" spans="2:15" ht="15.75" x14ac:dyDescent="0.25">
      <c r="K16" s="84" t="s">
        <v>558</v>
      </c>
      <c r="N16" s="51" t="s">
        <v>1084</v>
      </c>
      <c r="O16" s="82" t="s">
        <v>997</v>
      </c>
    </row>
    <row r="17" spans="2:15" ht="15.75" x14ac:dyDescent="0.25">
      <c r="B17" s="6"/>
      <c r="C17" s="6"/>
      <c r="D17" s="73"/>
      <c r="E17" s="6"/>
      <c r="F17" s="6"/>
      <c r="G17" s="6"/>
      <c r="H17" s="6"/>
      <c r="K17" s="84" t="s">
        <v>559</v>
      </c>
      <c r="O17" s="82" t="s">
        <v>998</v>
      </c>
    </row>
    <row r="18" spans="2:15" ht="15.75" x14ac:dyDescent="0.25">
      <c r="B18" s="6" t="s">
        <v>1053</v>
      </c>
      <c r="C18" s="6"/>
      <c r="D18" s="6"/>
      <c r="E18" s="6"/>
      <c r="F18" s="6"/>
      <c r="G18" s="6"/>
      <c r="H18" s="6"/>
      <c r="K18" s="84" t="s">
        <v>560</v>
      </c>
      <c r="O18" s="82" t="s">
        <v>999</v>
      </c>
    </row>
    <row r="19" spans="2:15" ht="15.75" x14ac:dyDescent="0.25">
      <c r="B19" s="6" t="s">
        <v>1036</v>
      </c>
      <c r="C19" s="6"/>
      <c r="D19" s="6"/>
      <c r="E19" s="6"/>
      <c r="F19" s="6"/>
      <c r="G19" s="6"/>
      <c r="H19" s="6"/>
      <c r="K19" s="84" t="s">
        <v>561</v>
      </c>
    </row>
    <row r="20" spans="2:15" ht="15.75" x14ac:dyDescent="0.25">
      <c r="B20" s="6" t="s">
        <v>646</v>
      </c>
      <c r="C20" s="6"/>
      <c r="D20" s="6"/>
      <c r="E20" s="6"/>
      <c r="F20" s="6"/>
      <c r="G20" s="6"/>
      <c r="H20" s="6"/>
      <c r="K20" s="84" t="s">
        <v>562</v>
      </c>
    </row>
    <row r="21" spans="2:15" ht="15.75" x14ac:dyDescent="0.25">
      <c r="B21" s="6"/>
      <c r="C21" s="6"/>
      <c r="D21" s="6"/>
      <c r="E21" s="6"/>
      <c r="F21" s="6"/>
      <c r="G21" s="6"/>
      <c r="H21" s="6"/>
      <c r="K21" s="84" t="s">
        <v>592</v>
      </c>
      <c r="N21" t="s">
        <v>1085</v>
      </c>
      <c r="O21" s="82" t="s">
        <v>1000</v>
      </c>
    </row>
    <row r="22" spans="2:15" x14ac:dyDescent="0.25">
      <c r="B22" s="62" t="s">
        <v>644</v>
      </c>
      <c r="C22" s="62" t="s">
        <v>645</v>
      </c>
      <c r="D22" s="6"/>
      <c r="E22" s="6"/>
      <c r="F22" s="6"/>
      <c r="G22" s="6"/>
      <c r="H22" s="6"/>
      <c r="O22" s="82" t="s">
        <v>1021</v>
      </c>
    </row>
    <row r="23" spans="2:15" ht="15.75" x14ac:dyDescent="0.25">
      <c r="B23" s="6" t="s">
        <v>640</v>
      </c>
      <c r="C23" s="6">
        <v>2.63</v>
      </c>
      <c r="D23" s="6"/>
      <c r="E23" s="6"/>
      <c r="F23" s="6"/>
      <c r="G23" s="6"/>
      <c r="H23" s="6"/>
      <c r="J23" t="s">
        <v>1060</v>
      </c>
      <c r="K23" s="84" t="s">
        <v>569</v>
      </c>
      <c r="O23" s="82" t="s">
        <v>1001</v>
      </c>
    </row>
    <row r="24" spans="2:15" ht="15.75" x14ac:dyDescent="0.25">
      <c r="B24" s="6" t="s">
        <v>605</v>
      </c>
      <c r="C24" s="60">
        <v>4.3899999999999997</v>
      </c>
      <c r="D24" s="6"/>
      <c r="E24" s="6"/>
      <c r="F24" s="6"/>
      <c r="G24" s="6"/>
      <c r="H24" s="6"/>
      <c r="K24" s="84" t="s">
        <v>570</v>
      </c>
    </row>
    <row r="25" spans="2:15" ht="15.75" x14ac:dyDescent="0.25">
      <c r="B25" s="6" t="s">
        <v>39</v>
      </c>
      <c r="C25" s="60">
        <v>3</v>
      </c>
      <c r="D25" s="6"/>
      <c r="E25" s="6"/>
      <c r="F25" s="6"/>
      <c r="G25" s="6"/>
      <c r="H25" s="6"/>
      <c r="K25" s="84" t="s">
        <v>571</v>
      </c>
      <c r="M25" t="s">
        <v>1119</v>
      </c>
      <c r="O25" s="82" t="s">
        <v>1115</v>
      </c>
    </row>
    <row r="26" spans="2:15" x14ac:dyDescent="0.25">
      <c r="B26" s="6" t="s">
        <v>643</v>
      </c>
      <c r="C26" s="60">
        <v>3.37</v>
      </c>
      <c r="D26" s="6"/>
      <c r="E26" s="6"/>
      <c r="F26" s="6"/>
      <c r="G26" s="6"/>
      <c r="H26" s="6"/>
      <c r="O26" s="82" t="s">
        <v>1116</v>
      </c>
    </row>
    <row r="27" spans="2:15" ht="15.75" x14ac:dyDescent="0.25">
      <c r="B27" s="6" t="s">
        <v>109</v>
      </c>
      <c r="C27" s="60">
        <v>2.4700000000000002</v>
      </c>
      <c r="D27" s="6"/>
      <c r="E27" s="6"/>
      <c r="F27" s="6"/>
      <c r="G27" s="6"/>
      <c r="H27" s="6"/>
      <c r="J27" t="s">
        <v>1061</v>
      </c>
      <c r="K27" s="84" t="s">
        <v>423</v>
      </c>
      <c r="O27" s="82" t="s">
        <v>1117</v>
      </c>
    </row>
    <row r="28" spans="2:15" ht="15.75" x14ac:dyDescent="0.25">
      <c r="B28" s="6"/>
      <c r="C28" s="6"/>
      <c r="D28" s="6"/>
      <c r="E28" s="6"/>
      <c r="F28" s="6"/>
      <c r="G28" s="6"/>
      <c r="H28" s="6"/>
      <c r="K28" s="84" t="s">
        <v>578</v>
      </c>
      <c r="O28" s="82" t="s">
        <v>1118</v>
      </c>
    </row>
    <row r="29" spans="2:15" ht="15.75" x14ac:dyDescent="0.25">
      <c r="B29" s="6"/>
      <c r="C29" s="6"/>
      <c r="D29" s="6"/>
      <c r="E29" s="6"/>
      <c r="F29" s="6"/>
      <c r="G29" s="6"/>
      <c r="H29" s="6"/>
      <c r="K29" s="84" t="s">
        <v>579</v>
      </c>
    </row>
    <row r="30" spans="2:15" x14ac:dyDescent="0.25">
      <c r="B30" s="6"/>
      <c r="C30" s="6">
        <f>SUM(C23:C27)</f>
        <v>15.860000000000001</v>
      </c>
      <c r="D30" s="6"/>
      <c r="E30" s="6"/>
      <c r="F30" s="6"/>
      <c r="G30" s="6"/>
      <c r="H30" s="6"/>
      <c r="N30" t="s">
        <v>1130</v>
      </c>
      <c r="O30" s="82" t="s">
        <v>1128</v>
      </c>
    </row>
    <row r="31" spans="2:15" ht="15.75" x14ac:dyDescent="0.25">
      <c r="B31" s="6"/>
      <c r="C31" s="6"/>
      <c r="D31" s="6"/>
      <c r="E31" s="6"/>
      <c r="F31" s="6"/>
      <c r="G31" s="6"/>
      <c r="H31" s="6"/>
      <c r="J31" t="s">
        <v>1062</v>
      </c>
      <c r="K31" s="84" t="s">
        <v>423</v>
      </c>
      <c r="O31" s="82" t="s">
        <v>1129</v>
      </c>
    </row>
    <row r="32" spans="2:15" ht="15.75" x14ac:dyDescent="0.25">
      <c r="B32" s="6" t="s">
        <v>647</v>
      </c>
      <c r="C32" s="6"/>
      <c r="D32" s="6"/>
      <c r="E32" s="6"/>
      <c r="F32" s="6"/>
      <c r="G32" s="6"/>
      <c r="H32" s="6"/>
      <c r="K32" s="84" t="s">
        <v>578</v>
      </c>
    </row>
    <row r="33" spans="2:15" ht="15.75" x14ac:dyDescent="0.25">
      <c r="B33" s="6" t="s">
        <v>648</v>
      </c>
      <c r="C33" s="6" t="s">
        <v>649</v>
      </c>
      <c r="D33" s="6"/>
      <c r="E33" s="6"/>
      <c r="F33" s="6"/>
      <c r="G33" s="6"/>
      <c r="H33" s="6"/>
      <c r="K33" s="84" t="s">
        <v>584</v>
      </c>
      <c r="N33" t="s">
        <v>1134</v>
      </c>
      <c r="O33" s="82" t="s">
        <v>1137</v>
      </c>
    </row>
    <row r="34" spans="2:15" x14ac:dyDescent="0.25">
      <c r="B34" s="6" t="s">
        <v>652</v>
      </c>
      <c r="C34" s="6" t="s">
        <v>650</v>
      </c>
      <c r="D34" s="6"/>
      <c r="E34" s="6"/>
      <c r="F34" s="6"/>
      <c r="G34" s="6"/>
      <c r="H34" s="6"/>
      <c r="O34" s="51" t="s">
        <v>1135</v>
      </c>
    </row>
    <row r="35" spans="2:15" ht="15.75" x14ac:dyDescent="0.25">
      <c r="B35" s="6"/>
      <c r="C35" s="6" t="s">
        <v>651</v>
      </c>
      <c r="D35" s="6"/>
      <c r="E35" s="6"/>
      <c r="F35" s="6"/>
      <c r="G35" s="6"/>
      <c r="H35" s="6"/>
      <c r="J35" t="s">
        <v>1063</v>
      </c>
      <c r="K35" s="84" t="s">
        <v>578</v>
      </c>
      <c r="O35" s="51" t="s">
        <v>1136</v>
      </c>
    </row>
    <row r="36" spans="2:15" x14ac:dyDescent="0.25">
      <c r="B36" s="6" t="s">
        <v>1034</v>
      </c>
      <c r="C36" s="6" t="s">
        <v>654</v>
      </c>
      <c r="D36" s="6"/>
      <c r="E36" s="6"/>
      <c r="F36" s="6"/>
      <c r="G36" s="6"/>
      <c r="H36" s="6"/>
      <c r="K36" s="82" t="s">
        <v>1195</v>
      </c>
      <c r="O36" s="51" t="s">
        <v>1132</v>
      </c>
    </row>
    <row r="37" spans="2:15" x14ac:dyDescent="0.25">
      <c r="B37" s="6"/>
      <c r="C37" s="6"/>
      <c r="D37" s="6"/>
      <c r="E37" s="6"/>
      <c r="F37" s="6"/>
      <c r="G37" s="6"/>
      <c r="H37" s="6"/>
      <c r="K37" s="82" t="s">
        <v>1348</v>
      </c>
      <c r="O37" s="51"/>
    </row>
    <row r="38" spans="2:15" x14ac:dyDescent="0.25">
      <c r="K38" s="82" t="s">
        <v>1347</v>
      </c>
      <c r="N38" t="s">
        <v>1351</v>
      </c>
      <c r="O38" s="51" t="s">
        <v>1352</v>
      </c>
    </row>
    <row r="39" spans="2:15" x14ac:dyDescent="0.25">
      <c r="B39" s="6" t="s">
        <v>1094</v>
      </c>
      <c r="O39" s="51" t="s">
        <v>1353</v>
      </c>
    </row>
    <row r="40" spans="2:15" x14ac:dyDescent="0.25">
      <c r="B40" t="s">
        <v>712</v>
      </c>
      <c r="C40" t="s">
        <v>788</v>
      </c>
      <c r="J40" t="s">
        <v>1064</v>
      </c>
      <c r="K40" s="82" t="s">
        <v>594</v>
      </c>
      <c r="O40" s="51" t="s">
        <v>1354</v>
      </c>
    </row>
    <row r="41" spans="2:15" x14ac:dyDescent="0.25">
      <c r="B41" t="s">
        <v>789</v>
      </c>
      <c r="C41" t="s">
        <v>790</v>
      </c>
      <c r="K41" s="82" t="s">
        <v>596</v>
      </c>
    </row>
    <row r="42" spans="2:15" x14ac:dyDescent="0.25">
      <c r="B42" t="s">
        <v>787</v>
      </c>
      <c r="C42" t="s">
        <v>791</v>
      </c>
      <c r="K42" s="82" t="s">
        <v>597</v>
      </c>
    </row>
    <row r="43" spans="2:15" x14ac:dyDescent="0.25">
      <c r="B43" t="s">
        <v>727</v>
      </c>
      <c r="C43" t="s">
        <v>792</v>
      </c>
    </row>
    <row r="44" spans="2:15" x14ac:dyDescent="0.25">
      <c r="B44" t="s">
        <v>726</v>
      </c>
      <c r="C44" t="s">
        <v>793</v>
      </c>
      <c r="J44" t="s">
        <v>1065</v>
      </c>
      <c r="K44" s="82" t="s">
        <v>687</v>
      </c>
    </row>
    <row r="45" spans="2:15" x14ac:dyDescent="0.25">
      <c r="B45" t="s">
        <v>729</v>
      </c>
      <c r="C45" t="s">
        <v>794</v>
      </c>
      <c r="K45" s="82" t="s">
        <v>688</v>
      </c>
    </row>
    <row r="46" spans="2:15" x14ac:dyDescent="0.25">
      <c r="B46" t="s">
        <v>312</v>
      </c>
      <c r="C46" t="s">
        <v>795</v>
      </c>
    </row>
    <row r="47" spans="2:15" x14ac:dyDescent="0.25">
      <c r="B47" t="s">
        <v>476</v>
      </c>
      <c r="C47" t="s">
        <v>796</v>
      </c>
      <c r="J47" t="s">
        <v>1066</v>
      </c>
      <c r="K47" s="82" t="s">
        <v>423</v>
      </c>
    </row>
    <row r="48" spans="2:15" x14ac:dyDescent="0.25">
      <c r="B48" t="s">
        <v>308</v>
      </c>
      <c r="C48" t="s">
        <v>797</v>
      </c>
      <c r="K48" s="82" t="s">
        <v>705</v>
      </c>
    </row>
    <row r="49" spans="2:11" x14ac:dyDescent="0.25">
      <c r="B49" t="s">
        <v>798</v>
      </c>
      <c r="C49" t="s">
        <v>799</v>
      </c>
      <c r="K49" s="82" t="s">
        <v>410</v>
      </c>
    </row>
    <row r="50" spans="2:11" x14ac:dyDescent="0.25">
      <c r="B50" t="s">
        <v>221</v>
      </c>
      <c r="C50" t="s">
        <v>800</v>
      </c>
    </row>
    <row r="51" spans="2:11" x14ac:dyDescent="0.25">
      <c r="B51" t="s">
        <v>685</v>
      </c>
      <c r="C51" t="s">
        <v>801</v>
      </c>
      <c r="J51" t="s">
        <v>1067</v>
      </c>
      <c r="K51" s="82" t="s">
        <v>708</v>
      </c>
    </row>
    <row r="52" spans="2:11" x14ac:dyDescent="0.25">
      <c r="B52" t="s">
        <v>684</v>
      </c>
      <c r="C52" t="s">
        <v>802</v>
      </c>
      <c r="K52" s="82" t="s">
        <v>709</v>
      </c>
    </row>
    <row r="53" spans="2:11" x14ac:dyDescent="0.25">
      <c r="B53" t="s">
        <v>441</v>
      </c>
      <c r="C53" t="s">
        <v>803</v>
      </c>
    </row>
    <row r="54" spans="2:11" x14ac:dyDescent="0.25">
      <c r="B54" t="s">
        <v>310</v>
      </c>
      <c r="C54" t="s">
        <v>804</v>
      </c>
      <c r="J54" t="s">
        <v>1068</v>
      </c>
      <c r="K54" s="82" t="s">
        <v>714</v>
      </c>
    </row>
    <row r="55" spans="2:11" x14ac:dyDescent="0.25">
      <c r="B55" t="s">
        <v>674</v>
      </c>
      <c r="C55" t="s">
        <v>805</v>
      </c>
      <c r="K55" s="82" t="s">
        <v>715</v>
      </c>
    </row>
    <row r="56" spans="2:11" x14ac:dyDescent="0.25">
      <c r="B56" t="s">
        <v>656</v>
      </c>
      <c r="C56" t="s">
        <v>806</v>
      </c>
    </row>
    <row r="57" spans="2:11" x14ac:dyDescent="0.25">
      <c r="B57" t="s">
        <v>657</v>
      </c>
      <c r="C57" t="s">
        <v>807</v>
      </c>
      <c r="J57" t="s">
        <v>1069</v>
      </c>
      <c r="K57" s="82" t="s">
        <v>717</v>
      </c>
    </row>
    <row r="58" spans="2:11" x14ac:dyDescent="0.25">
      <c r="B58" t="s">
        <v>808</v>
      </c>
      <c r="C58" t="s">
        <v>809</v>
      </c>
      <c r="K58" s="82" t="s">
        <v>718</v>
      </c>
    </row>
    <row r="59" spans="2:11" x14ac:dyDescent="0.25">
      <c r="B59" t="s">
        <v>522</v>
      </c>
      <c r="C59" t="s">
        <v>810</v>
      </c>
      <c r="K59" s="82" t="s">
        <v>719</v>
      </c>
    </row>
    <row r="60" spans="2:11" x14ac:dyDescent="0.25">
      <c r="B60" t="s">
        <v>811</v>
      </c>
      <c r="C60" t="s">
        <v>812</v>
      </c>
    </row>
    <row r="61" spans="2:11" x14ac:dyDescent="0.25">
      <c r="B61" t="s">
        <v>585</v>
      </c>
      <c r="C61" t="s">
        <v>813</v>
      </c>
      <c r="J61" t="s">
        <v>1070</v>
      </c>
      <c r="K61" s="82" t="s">
        <v>397</v>
      </c>
    </row>
    <row r="62" spans="2:11" x14ac:dyDescent="0.25">
      <c r="B62" t="s">
        <v>586</v>
      </c>
      <c r="C62" t="s">
        <v>814</v>
      </c>
      <c r="K62" s="82" t="s">
        <v>398</v>
      </c>
    </row>
    <row r="63" spans="2:11" x14ac:dyDescent="0.25">
      <c r="B63" t="s">
        <v>582</v>
      </c>
      <c r="C63" t="s">
        <v>815</v>
      </c>
      <c r="K63" s="82" t="s">
        <v>399</v>
      </c>
    </row>
    <row r="64" spans="2:11" x14ac:dyDescent="0.25">
      <c r="B64" t="s">
        <v>583</v>
      </c>
      <c r="C64" t="s">
        <v>816</v>
      </c>
      <c r="K64" s="82" t="s">
        <v>405</v>
      </c>
    </row>
    <row r="65" spans="2:11" x14ac:dyDescent="0.25">
      <c r="B65" t="s">
        <v>710</v>
      </c>
      <c r="C65" t="s">
        <v>817</v>
      </c>
      <c r="K65" s="82" t="s">
        <v>423</v>
      </c>
    </row>
    <row r="66" spans="2:11" x14ac:dyDescent="0.25">
      <c r="B66" t="s">
        <v>573</v>
      </c>
      <c r="C66" t="s">
        <v>818</v>
      </c>
    </row>
    <row r="67" spans="2:11" x14ac:dyDescent="0.25">
      <c r="B67" t="s">
        <v>574</v>
      </c>
      <c r="C67" t="s">
        <v>819</v>
      </c>
      <c r="J67" t="s">
        <v>1071</v>
      </c>
      <c r="K67" s="82" t="s">
        <v>400</v>
      </c>
    </row>
    <row r="68" spans="2:11" x14ac:dyDescent="0.25">
      <c r="B68" t="s">
        <v>567</v>
      </c>
      <c r="C68" t="s">
        <v>820</v>
      </c>
      <c r="K68" s="82" t="s">
        <v>401</v>
      </c>
    </row>
    <row r="69" spans="2:11" x14ac:dyDescent="0.25">
      <c r="B69" t="s">
        <v>568</v>
      </c>
      <c r="C69" t="s">
        <v>821</v>
      </c>
      <c r="K69" s="82" t="s">
        <v>409</v>
      </c>
    </row>
    <row r="70" spans="2:11" x14ac:dyDescent="0.25">
      <c r="B70" t="s">
        <v>720</v>
      </c>
      <c r="C70" t="s">
        <v>822</v>
      </c>
      <c r="K70" s="82" t="s">
        <v>410</v>
      </c>
    </row>
    <row r="71" spans="2:11" x14ac:dyDescent="0.25">
      <c r="B71" t="s">
        <v>823</v>
      </c>
      <c r="C71" t="s">
        <v>824</v>
      </c>
    </row>
    <row r="72" spans="2:11" x14ac:dyDescent="0.25">
      <c r="B72" t="s">
        <v>469</v>
      </c>
      <c r="C72" t="s">
        <v>825</v>
      </c>
      <c r="J72" t="s">
        <v>1072</v>
      </c>
      <c r="K72" s="82" t="s">
        <v>137</v>
      </c>
    </row>
    <row r="73" spans="2:11" x14ac:dyDescent="0.25">
      <c r="B73" t="s">
        <v>468</v>
      </c>
      <c r="C73" t="s">
        <v>825</v>
      </c>
      <c r="K73" s="82" t="s">
        <v>402</v>
      </c>
    </row>
    <row r="74" spans="2:11" x14ac:dyDescent="0.25">
      <c r="B74" t="s">
        <v>528</v>
      </c>
      <c r="C74" t="s">
        <v>826</v>
      </c>
      <c r="K74" s="82" t="s">
        <v>345</v>
      </c>
    </row>
    <row r="75" spans="2:11" x14ac:dyDescent="0.25">
      <c r="B75" t="s">
        <v>760</v>
      </c>
      <c r="C75" t="s">
        <v>827</v>
      </c>
      <c r="K75" s="82" t="s">
        <v>403</v>
      </c>
    </row>
    <row r="76" spans="2:11" x14ac:dyDescent="0.25">
      <c r="B76" t="s">
        <v>750</v>
      </c>
      <c r="C76" t="s">
        <v>828</v>
      </c>
      <c r="K76" s="82" t="s">
        <v>348</v>
      </c>
    </row>
    <row r="77" spans="2:11" x14ac:dyDescent="0.25">
      <c r="B77" t="s">
        <v>475</v>
      </c>
      <c r="C77" t="s">
        <v>829</v>
      </c>
    </row>
    <row r="78" spans="2:11" x14ac:dyDescent="0.25">
      <c r="B78" t="s">
        <v>741</v>
      </c>
      <c r="C78" t="s">
        <v>830</v>
      </c>
      <c r="J78" t="s">
        <v>1079</v>
      </c>
      <c r="K78" s="82" t="s">
        <v>514</v>
      </c>
    </row>
    <row r="79" spans="2:11" x14ac:dyDescent="0.25">
      <c r="B79" t="s">
        <v>478</v>
      </c>
      <c r="C79" t="s">
        <v>831</v>
      </c>
      <c r="K79" s="82" t="s">
        <v>515</v>
      </c>
    </row>
    <row r="80" spans="2:11" x14ac:dyDescent="0.25">
      <c r="B80" t="s">
        <v>225</v>
      </c>
      <c r="C80" t="s">
        <v>832</v>
      </c>
      <c r="K80" s="82" t="s">
        <v>516</v>
      </c>
    </row>
    <row r="81" spans="2:11" x14ac:dyDescent="0.25">
      <c r="B81" t="s">
        <v>753</v>
      </c>
      <c r="C81" t="s">
        <v>833</v>
      </c>
      <c r="K81" s="82" t="s">
        <v>517</v>
      </c>
    </row>
    <row r="82" spans="2:11" x14ac:dyDescent="0.25">
      <c r="B82" t="s">
        <v>763</v>
      </c>
      <c r="C82" t="s">
        <v>834</v>
      </c>
    </row>
    <row r="83" spans="2:11" x14ac:dyDescent="0.25">
      <c r="B83" t="s">
        <v>232</v>
      </c>
      <c r="C83" t="s">
        <v>835</v>
      </c>
    </row>
    <row r="84" spans="2:11" x14ac:dyDescent="0.25">
      <c r="B84" t="s">
        <v>539</v>
      </c>
      <c r="C84" t="s">
        <v>836</v>
      </c>
    </row>
    <row r="85" spans="2:11" x14ac:dyDescent="0.25">
      <c r="B85" t="s">
        <v>722</v>
      </c>
      <c r="C85" t="s">
        <v>837</v>
      </c>
    </row>
    <row r="86" spans="2:11" x14ac:dyDescent="0.25">
      <c r="B86" t="s">
        <v>723</v>
      </c>
      <c r="C86" t="s">
        <v>838</v>
      </c>
    </row>
    <row r="87" spans="2:11" x14ac:dyDescent="0.25">
      <c r="B87" t="s">
        <v>224</v>
      </c>
      <c r="C87" t="s">
        <v>839</v>
      </c>
    </row>
    <row r="88" spans="2:11" x14ac:dyDescent="0.25">
      <c r="B88" t="s">
        <v>782</v>
      </c>
      <c r="C88" t="s">
        <v>840</v>
      </c>
    </row>
    <row r="89" spans="2:11" x14ac:dyDescent="0.25">
      <c r="B89" t="s">
        <v>231</v>
      </c>
      <c r="C89" t="s">
        <v>841</v>
      </c>
    </row>
    <row r="90" spans="2:11" x14ac:dyDescent="0.25">
      <c r="B90" t="s">
        <v>523</v>
      </c>
      <c r="C90" t="s">
        <v>842</v>
      </c>
    </row>
    <row r="91" spans="2:11" x14ac:dyDescent="0.25">
      <c r="B91" t="s">
        <v>595</v>
      </c>
      <c r="C91" t="s">
        <v>843</v>
      </c>
    </row>
    <row r="92" spans="2:11" x14ac:dyDescent="0.25">
      <c r="B92" t="s">
        <v>598</v>
      </c>
      <c r="C92" t="s">
        <v>844</v>
      </c>
    </row>
    <row r="93" spans="2:11" x14ac:dyDescent="0.25">
      <c r="B93" t="s">
        <v>227</v>
      </c>
      <c r="C93" t="s">
        <v>845</v>
      </c>
    </row>
    <row r="94" spans="2:11" x14ac:dyDescent="0.25">
      <c r="B94" t="s">
        <v>234</v>
      </c>
      <c r="C94" t="s">
        <v>846</v>
      </c>
    </row>
    <row r="95" spans="2:11" x14ac:dyDescent="0.25">
      <c r="B95" t="s">
        <v>600</v>
      </c>
      <c r="C95" t="s">
        <v>847</v>
      </c>
    </row>
    <row r="96" spans="2:11" x14ac:dyDescent="0.25">
      <c r="B96" t="s">
        <v>427</v>
      </c>
      <c r="C96" t="s">
        <v>848</v>
      </c>
    </row>
    <row r="97" spans="2:3" x14ac:dyDescent="0.25">
      <c r="B97" t="s">
        <v>696</v>
      </c>
      <c r="C97" t="s">
        <v>849</v>
      </c>
    </row>
    <row r="98" spans="2:3" x14ac:dyDescent="0.25">
      <c r="B98" t="s">
        <v>218</v>
      </c>
      <c r="C98" t="s">
        <v>850</v>
      </c>
    </row>
    <row r="99" spans="2:3" x14ac:dyDescent="0.25">
      <c r="B99" t="s">
        <v>294</v>
      </c>
      <c r="C99" t="s">
        <v>851</v>
      </c>
    </row>
    <row r="100" spans="2:3" x14ac:dyDescent="0.25">
      <c r="B100" t="s">
        <v>104</v>
      </c>
      <c r="C100" t="s">
        <v>852</v>
      </c>
    </row>
    <row r="101" spans="2:3" x14ac:dyDescent="0.25">
      <c r="B101" t="s">
        <v>576</v>
      </c>
      <c r="C101" t="s">
        <v>853</v>
      </c>
    </row>
    <row r="102" spans="2:3" x14ac:dyDescent="0.25">
      <c r="B102" t="s">
        <v>580</v>
      </c>
      <c r="C102" t="s">
        <v>854</v>
      </c>
    </row>
    <row r="103" spans="2:3" x14ac:dyDescent="0.25">
      <c r="B103" t="s">
        <v>695</v>
      </c>
      <c r="C103" t="s">
        <v>855</v>
      </c>
    </row>
    <row r="104" spans="2:3" x14ac:dyDescent="0.25">
      <c r="B104" t="s">
        <v>535</v>
      </c>
      <c r="C104" t="s">
        <v>856</v>
      </c>
    </row>
    <row r="105" spans="2:3" x14ac:dyDescent="0.25">
      <c r="B105" t="s">
        <v>857</v>
      </c>
      <c r="C105" t="s">
        <v>858</v>
      </c>
    </row>
    <row r="106" spans="2:3" x14ac:dyDescent="0.25">
      <c r="B106" t="s">
        <v>520</v>
      </c>
      <c r="C106" t="s">
        <v>859</v>
      </c>
    </row>
    <row r="107" spans="2:3" x14ac:dyDescent="0.25">
      <c r="B107" t="s">
        <v>860</v>
      </c>
      <c r="C107" t="s">
        <v>861</v>
      </c>
    </row>
    <row r="108" spans="2:3" x14ac:dyDescent="0.25">
      <c r="B108" t="s">
        <v>862</v>
      </c>
      <c r="C108" t="s">
        <v>863</v>
      </c>
    </row>
    <row r="109" spans="2:3" x14ac:dyDescent="0.25">
      <c r="B109" t="s">
        <v>864</v>
      </c>
      <c r="C109" t="s">
        <v>865</v>
      </c>
    </row>
    <row r="110" spans="2:3" x14ac:dyDescent="0.25">
      <c r="B110" t="s">
        <v>866</v>
      </c>
      <c r="C110" t="s">
        <v>867</v>
      </c>
    </row>
    <row r="111" spans="2:3" x14ac:dyDescent="0.25">
      <c r="B111" t="s">
        <v>472</v>
      </c>
      <c r="C111" t="s">
        <v>868</v>
      </c>
    </row>
    <row r="112" spans="2:3" x14ac:dyDescent="0.25">
      <c r="B112" t="s">
        <v>869</v>
      </c>
      <c r="C112" t="s">
        <v>870</v>
      </c>
    </row>
    <row r="113" spans="2:3" x14ac:dyDescent="0.25">
      <c r="B113" t="s">
        <v>871</v>
      </c>
      <c r="C113" t="s">
        <v>872</v>
      </c>
    </row>
    <row r="114" spans="2:3" x14ac:dyDescent="0.25">
      <c r="B114" t="s">
        <v>873</v>
      </c>
      <c r="C114" t="s">
        <v>874</v>
      </c>
    </row>
    <row r="115" spans="2:3" x14ac:dyDescent="0.25">
      <c r="B115" t="s">
        <v>875</v>
      </c>
      <c r="C115" t="s">
        <v>876</v>
      </c>
    </row>
    <row r="116" spans="2:3" x14ac:dyDescent="0.25">
      <c r="B116" t="s">
        <v>877</v>
      </c>
      <c r="C116" t="s">
        <v>878</v>
      </c>
    </row>
    <row r="117" spans="2:3" x14ac:dyDescent="0.25">
      <c r="B117" t="s">
        <v>879</v>
      </c>
      <c r="C117" t="s">
        <v>880</v>
      </c>
    </row>
    <row r="118" spans="2:3" x14ac:dyDescent="0.25">
      <c r="B118" t="s">
        <v>713</v>
      </c>
      <c r="C118" t="s">
        <v>881</v>
      </c>
    </row>
    <row r="119" spans="2:3" x14ac:dyDescent="0.25">
      <c r="B119" t="s">
        <v>479</v>
      </c>
      <c r="C119" t="s">
        <v>882</v>
      </c>
    </row>
    <row r="120" spans="2:3" x14ac:dyDescent="0.25">
      <c r="B120" t="s">
        <v>470</v>
      </c>
      <c r="C120" t="s">
        <v>883</v>
      </c>
    </row>
    <row r="121" spans="2:3" x14ac:dyDescent="0.25">
      <c r="B121" t="s">
        <v>295</v>
      </c>
      <c r="C121" t="s">
        <v>884</v>
      </c>
    </row>
    <row r="122" spans="2:3" x14ac:dyDescent="0.25">
      <c r="B122" t="s">
        <v>105</v>
      </c>
      <c r="C122" t="s">
        <v>885</v>
      </c>
    </row>
    <row r="123" spans="2:3" x14ac:dyDescent="0.25">
      <c r="B123" t="s">
        <v>537</v>
      </c>
      <c r="C123" t="s">
        <v>886</v>
      </c>
    </row>
    <row r="124" spans="2:3" x14ac:dyDescent="0.25">
      <c r="B124" t="s">
        <v>716</v>
      </c>
      <c r="C124" t="s">
        <v>887</v>
      </c>
    </row>
    <row r="125" spans="2:3" x14ac:dyDescent="0.25">
      <c r="B125" t="s">
        <v>888</v>
      </c>
      <c r="C125" t="s">
        <v>889</v>
      </c>
    </row>
    <row r="126" spans="2:3" x14ac:dyDescent="0.25">
      <c r="B126" t="s">
        <v>521</v>
      </c>
      <c r="C126" t="s">
        <v>890</v>
      </c>
    </row>
    <row r="127" spans="2:3" x14ac:dyDescent="0.25">
      <c r="B127" t="s">
        <v>445</v>
      </c>
      <c r="C127" t="s">
        <v>891</v>
      </c>
    </row>
    <row r="128" spans="2:3" x14ac:dyDescent="0.25">
      <c r="B128" t="s">
        <v>136</v>
      </c>
      <c r="C128" t="s">
        <v>892</v>
      </c>
    </row>
    <row r="129" spans="2:3" x14ac:dyDescent="0.25">
      <c r="B129" t="s">
        <v>692</v>
      </c>
      <c r="C129" t="s">
        <v>893</v>
      </c>
    </row>
    <row r="130" spans="2:3" x14ac:dyDescent="0.25">
      <c r="B130" t="s">
        <v>540</v>
      </c>
      <c r="C130" t="s">
        <v>894</v>
      </c>
    </row>
    <row r="131" spans="2:3" x14ac:dyDescent="0.25">
      <c r="B131" t="s">
        <v>545</v>
      </c>
      <c r="C131" t="s">
        <v>895</v>
      </c>
    </row>
    <row r="132" spans="2:3" x14ac:dyDescent="0.25">
      <c r="B132" t="s">
        <v>541</v>
      </c>
      <c r="C132" t="s">
        <v>896</v>
      </c>
    </row>
    <row r="133" spans="2:3" x14ac:dyDescent="0.25">
      <c r="B133" t="s">
        <v>542</v>
      </c>
      <c r="C133" t="s">
        <v>897</v>
      </c>
    </row>
    <row r="134" spans="2:3" x14ac:dyDescent="0.25">
      <c r="B134" t="s">
        <v>529</v>
      </c>
      <c r="C134" t="s">
        <v>898</v>
      </c>
    </row>
    <row r="135" spans="2:3" x14ac:dyDescent="0.25">
      <c r="B135" t="s">
        <v>761</v>
      </c>
      <c r="C135" t="s">
        <v>899</v>
      </c>
    </row>
    <row r="136" spans="2:3" x14ac:dyDescent="0.25">
      <c r="B136" t="s">
        <v>222</v>
      </c>
      <c r="C136" t="s">
        <v>900</v>
      </c>
    </row>
    <row r="137" spans="2:3" x14ac:dyDescent="0.25">
      <c r="B137" t="s">
        <v>429</v>
      </c>
      <c r="C137" t="s">
        <v>901</v>
      </c>
    </row>
    <row r="138" spans="2:3" x14ac:dyDescent="0.25">
      <c r="B138" t="s">
        <v>446</v>
      </c>
      <c r="C138" t="s">
        <v>902</v>
      </c>
    </row>
    <row r="139" spans="2:3" x14ac:dyDescent="0.25">
      <c r="B139" t="s">
        <v>229</v>
      </c>
      <c r="C139" t="s">
        <v>903</v>
      </c>
    </row>
    <row r="140" spans="2:3" x14ac:dyDescent="0.25">
      <c r="B140" t="s">
        <v>428</v>
      </c>
      <c r="C140" t="s">
        <v>904</v>
      </c>
    </row>
    <row r="141" spans="2:3" x14ac:dyDescent="0.25">
      <c r="B141" t="s">
        <v>724</v>
      </c>
      <c r="C141" t="s">
        <v>905</v>
      </c>
    </row>
    <row r="142" spans="2:3" x14ac:dyDescent="0.25">
      <c r="B142" t="s">
        <v>725</v>
      </c>
      <c r="C142" t="s">
        <v>906</v>
      </c>
    </row>
    <row r="143" spans="2:3" x14ac:dyDescent="0.25">
      <c r="B143" t="s">
        <v>536</v>
      </c>
      <c r="C143" t="s">
        <v>907</v>
      </c>
    </row>
    <row r="144" spans="2:3" x14ac:dyDescent="0.25">
      <c r="B144" t="s">
        <v>519</v>
      </c>
      <c r="C144" t="s">
        <v>908</v>
      </c>
    </row>
    <row r="145" spans="2:3" x14ac:dyDescent="0.25">
      <c r="B145" t="s">
        <v>307</v>
      </c>
      <c r="C145" t="s">
        <v>909</v>
      </c>
    </row>
    <row r="146" spans="2:3" x14ac:dyDescent="0.25">
      <c r="B146" t="s">
        <v>910</v>
      </c>
      <c r="C146" t="s">
        <v>911</v>
      </c>
    </row>
    <row r="147" spans="2:3" x14ac:dyDescent="0.25">
      <c r="B147" t="s">
        <v>912</v>
      </c>
      <c r="C147" t="s">
        <v>913</v>
      </c>
    </row>
    <row r="148" spans="2:3" x14ac:dyDescent="0.25">
      <c r="B148" t="s">
        <v>914</v>
      </c>
      <c r="C148" t="s">
        <v>915</v>
      </c>
    </row>
    <row r="149" spans="2:3" x14ac:dyDescent="0.25">
      <c r="B149" t="s">
        <v>474</v>
      </c>
      <c r="C149" t="s">
        <v>916</v>
      </c>
    </row>
    <row r="150" spans="2:3" x14ac:dyDescent="0.25">
      <c r="B150" t="s">
        <v>917</v>
      </c>
      <c r="C150" t="s">
        <v>918</v>
      </c>
    </row>
    <row r="151" spans="2:3" x14ac:dyDescent="0.25">
      <c r="B151" t="s">
        <v>471</v>
      </c>
      <c r="C151" t="s">
        <v>919</v>
      </c>
    </row>
    <row r="152" spans="2:3" x14ac:dyDescent="0.25">
      <c r="B152" t="s">
        <v>223</v>
      </c>
      <c r="C152" t="s">
        <v>920</v>
      </c>
    </row>
    <row r="153" spans="2:3" x14ac:dyDescent="0.25">
      <c r="B153" t="s">
        <v>785</v>
      </c>
      <c r="C153" t="s">
        <v>921</v>
      </c>
    </row>
    <row r="154" spans="2:3" x14ac:dyDescent="0.25">
      <c r="B154" t="s">
        <v>783</v>
      </c>
      <c r="C154" t="s">
        <v>922</v>
      </c>
    </row>
    <row r="155" spans="2:3" x14ac:dyDescent="0.25">
      <c r="B155" t="s">
        <v>230</v>
      </c>
      <c r="C155" t="s">
        <v>923</v>
      </c>
    </row>
    <row r="156" spans="2:3" x14ac:dyDescent="0.25">
      <c r="B156" t="s">
        <v>690</v>
      </c>
      <c r="C156" t="s">
        <v>924</v>
      </c>
    </row>
    <row r="157" spans="2:3" x14ac:dyDescent="0.25">
      <c r="B157" t="s">
        <v>686</v>
      </c>
      <c r="C157" t="s">
        <v>925</v>
      </c>
    </row>
    <row r="158" spans="2:3" x14ac:dyDescent="0.25">
      <c r="B158" t="s">
        <v>689</v>
      </c>
      <c r="C158" t="s">
        <v>926</v>
      </c>
    </row>
    <row r="159" spans="2:3" x14ac:dyDescent="0.25">
      <c r="B159" t="s">
        <v>601</v>
      </c>
      <c r="C159" t="s">
        <v>927</v>
      </c>
    </row>
    <row r="160" spans="2:3" x14ac:dyDescent="0.25">
      <c r="B160" t="s">
        <v>928</v>
      </c>
      <c r="C160" t="s">
        <v>929</v>
      </c>
    </row>
    <row r="161" spans="2:3" x14ac:dyDescent="0.25">
      <c r="B161" t="s">
        <v>930</v>
      </c>
      <c r="C161" t="s">
        <v>931</v>
      </c>
    </row>
    <row r="162" spans="2:3" x14ac:dyDescent="0.25">
      <c r="B162" t="s">
        <v>932</v>
      </c>
      <c r="C162" t="s">
        <v>933</v>
      </c>
    </row>
    <row r="163" spans="2:3" x14ac:dyDescent="0.25">
      <c r="B163" t="s">
        <v>934</v>
      </c>
      <c r="C163" t="s">
        <v>935</v>
      </c>
    </row>
    <row r="164" spans="2:3" x14ac:dyDescent="0.25">
      <c r="B164" t="s">
        <v>936</v>
      </c>
      <c r="C164" t="s">
        <v>937</v>
      </c>
    </row>
    <row r="165" spans="2:3" x14ac:dyDescent="0.25">
      <c r="B165" t="s">
        <v>555</v>
      </c>
      <c r="C165" t="s">
        <v>938</v>
      </c>
    </row>
    <row r="166" spans="2:3" x14ac:dyDescent="0.25">
      <c r="B166" t="s">
        <v>939</v>
      </c>
      <c r="C166" t="s">
        <v>940</v>
      </c>
    </row>
    <row r="167" spans="2:3" x14ac:dyDescent="0.25">
      <c r="B167" t="s">
        <v>697</v>
      </c>
      <c r="C167" t="s">
        <v>941</v>
      </c>
    </row>
    <row r="168" spans="2:3" x14ac:dyDescent="0.25">
      <c r="B168" t="s">
        <v>694</v>
      </c>
      <c r="C168" t="s">
        <v>942</v>
      </c>
    </row>
    <row r="169" spans="2:3" x14ac:dyDescent="0.25">
      <c r="B169" t="s">
        <v>943</v>
      </c>
      <c r="C169" t="s">
        <v>944</v>
      </c>
    </row>
    <row r="170" spans="2:3" x14ac:dyDescent="0.25">
      <c r="B170" t="s">
        <v>748</v>
      </c>
      <c r="C170" t="s">
        <v>945</v>
      </c>
    </row>
    <row r="171" spans="2:3" x14ac:dyDescent="0.25">
      <c r="B171" t="s">
        <v>946</v>
      </c>
      <c r="C171" t="s">
        <v>947</v>
      </c>
    </row>
    <row r="172" spans="2:3" x14ac:dyDescent="0.25">
      <c r="B172" t="s">
        <v>948</v>
      </c>
      <c r="C172" t="s">
        <v>949</v>
      </c>
    </row>
    <row r="173" spans="2:3" x14ac:dyDescent="0.25">
      <c r="B173" t="s">
        <v>950</v>
      </c>
      <c r="C173" t="s">
        <v>951</v>
      </c>
    </row>
    <row r="174" spans="2:3" x14ac:dyDescent="0.25">
      <c r="B174" t="s">
        <v>952</v>
      </c>
      <c r="C174" t="s">
        <v>953</v>
      </c>
    </row>
    <row r="175" spans="2:3" x14ac:dyDescent="0.25">
      <c r="B175" t="s">
        <v>954</v>
      </c>
      <c r="C175" t="s">
        <v>955</v>
      </c>
    </row>
    <row r="176" spans="2:3" x14ac:dyDescent="0.25">
      <c r="B176" t="s">
        <v>553</v>
      </c>
      <c r="C176" t="s">
        <v>956</v>
      </c>
    </row>
    <row r="177" spans="2:3" x14ac:dyDescent="0.25">
      <c r="B177" t="s">
        <v>593</v>
      </c>
      <c r="C177" t="s">
        <v>957</v>
      </c>
    </row>
    <row r="178" spans="2:3" x14ac:dyDescent="0.25">
      <c r="B178" t="s">
        <v>599</v>
      </c>
      <c r="C178" t="s">
        <v>958</v>
      </c>
    </row>
    <row r="179" spans="2:3" x14ac:dyDescent="0.25">
      <c r="B179" t="s">
        <v>959</v>
      </c>
      <c r="C179" t="s">
        <v>960</v>
      </c>
    </row>
    <row r="180" spans="2:3" x14ac:dyDescent="0.25">
      <c r="B180" t="s">
        <v>738</v>
      </c>
      <c r="C180" t="s">
        <v>961</v>
      </c>
    </row>
    <row r="181" spans="2:3" x14ac:dyDescent="0.25">
      <c r="B181" t="s">
        <v>426</v>
      </c>
      <c r="C181" t="s">
        <v>962</v>
      </c>
    </row>
    <row r="182" spans="2:3" x14ac:dyDescent="0.25">
      <c r="B182" t="s">
        <v>226</v>
      </c>
      <c r="C182" t="s">
        <v>963</v>
      </c>
    </row>
    <row r="183" spans="2:3" x14ac:dyDescent="0.25">
      <c r="B183" t="s">
        <v>749</v>
      </c>
      <c r="C183" t="s">
        <v>964</v>
      </c>
    </row>
    <row r="184" spans="2:3" x14ac:dyDescent="0.25">
      <c r="B184" t="s">
        <v>233</v>
      </c>
      <c r="C184" t="s">
        <v>965</v>
      </c>
    </row>
    <row r="185" spans="2:3" x14ac:dyDescent="0.25">
      <c r="B185" t="s">
        <v>707</v>
      </c>
      <c r="C185" t="s">
        <v>966</v>
      </c>
    </row>
    <row r="186" spans="2:3" x14ac:dyDescent="0.25">
      <c r="B186" t="s">
        <v>706</v>
      </c>
      <c r="C186" t="s">
        <v>967</v>
      </c>
    </row>
    <row r="187" spans="2:3" x14ac:dyDescent="0.25">
      <c r="B187" t="s">
        <v>968</v>
      </c>
      <c r="C187" t="s">
        <v>969</v>
      </c>
    </row>
    <row r="188" spans="2:3" x14ac:dyDescent="0.25">
      <c r="B188" t="s">
        <v>970</v>
      </c>
      <c r="C188" t="s">
        <v>971</v>
      </c>
    </row>
    <row r="189" spans="2:3" x14ac:dyDescent="0.25">
      <c r="B189" t="s">
        <v>972</v>
      </c>
      <c r="C189" t="s">
        <v>973</v>
      </c>
    </row>
    <row r="190" spans="2:3" x14ac:dyDescent="0.25">
      <c r="B190" t="s">
        <v>974</v>
      </c>
      <c r="C190" t="s">
        <v>975</v>
      </c>
    </row>
    <row r="191" spans="2:3" x14ac:dyDescent="0.25">
      <c r="B191" t="s">
        <v>976</v>
      </c>
      <c r="C191" t="s">
        <v>977</v>
      </c>
    </row>
    <row r="192" spans="2:3" x14ac:dyDescent="0.25">
      <c r="B192" t="s">
        <v>467</v>
      </c>
      <c r="C192" t="s">
        <v>825</v>
      </c>
    </row>
    <row r="193" spans="2:3" x14ac:dyDescent="0.25">
      <c r="B193" t="s">
        <v>747</v>
      </c>
      <c r="C193" t="s">
        <v>978</v>
      </c>
    </row>
    <row r="194" spans="2:3" x14ac:dyDescent="0.25">
      <c r="B194" t="s">
        <v>466</v>
      </c>
      <c r="C194" t="s">
        <v>825</v>
      </c>
    </row>
    <row r="195" spans="2:3" x14ac:dyDescent="0.25">
      <c r="B195" t="s">
        <v>473</v>
      </c>
      <c r="C195" t="s">
        <v>979</v>
      </c>
    </row>
    <row r="196" spans="2:3" x14ac:dyDescent="0.25">
      <c r="B196" t="s">
        <v>980</v>
      </c>
      <c r="C196" t="s">
        <v>981</v>
      </c>
    </row>
    <row r="197" spans="2:3" x14ac:dyDescent="0.25">
      <c r="B197" t="s">
        <v>982</v>
      </c>
      <c r="C197" t="s">
        <v>983</v>
      </c>
    </row>
    <row r="198" spans="2:3" x14ac:dyDescent="0.25">
      <c r="B198" t="s">
        <v>984</v>
      </c>
      <c r="C198" t="s">
        <v>985</v>
      </c>
    </row>
    <row r="199" spans="2:3" x14ac:dyDescent="0.25">
      <c r="B199" t="s">
        <v>425</v>
      </c>
      <c r="C199" t="s">
        <v>986</v>
      </c>
    </row>
    <row r="200" spans="2:3" x14ac:dyDescent="0.25">
      <c r="B200" t="s">
        <v>530</v>
      </c>
      <c r="C200" t="s">
        <v>987</v>
      </c>
    </row>
    <row r="201" spans="2:3" x14ac:dyDescent="0.25">
      <c r="B201" t="s">
        <v>762</v>
      </c>
      <c r="C201" t="s">
        <v>988</v>
      </c>
    </row>
    <row r="202" spans="2:3" x14ac:dyDescent="0.25">
      <c r="B202" t="s">
        <v>538</v>
      </c>
      <c r="C202" t="s">
        <v>989</v>
      </c>
    </row>
    <row r="203" spans="2:3" x14ac:dyDescent="0.25">
      <c r="B203" t="s">
        <v>700</v>
      </c>
      <c r="C203" t="s">
        <v>990</v>
      </c>
    </row>
  </sheetData>
  <dataValidations count="1">
    <dataValidation type="list" allowBlank="1" showInputMessage="1" showErrorMessage="1" sqref="O25:O28">
      <formula1>MULT</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workbookViewId="0">
      <selection activeCell="D23" sqref="D23"/>
    </sheetView>
  </sheetViews>
  <sheetFormatPr defaultRowHeight="15" x14ac:dyDescent="0.25"/>
  <sheetData>
    <row r="2" spans="1:14" ht="23.25" x14ac:dyDescent="0.35">
      <c r="B2" s="122" t="s">
        <v>1419</v>
      </c>
    </row>
    <row r="4" spans="1:14" x14ac:dyDescent="0.25">
      <c r="B4" t="s">
        <v>1313</v>
      </c>
    </row>
    <row r="5" spans="1:14" x14ac:dyDescent="0.25">
      <c r="A5">
        <v>1</v>
      </c>
      <c r="B5" t="s">
        <v>1309</v>
      </c>
      <c r="F5" t="s">
        <v>1311</v>
      </c>
      <c r="H5" t="s">
        <v>1315</v>
      </c>
      <c r="K5" t="s">
        <v>1316</v>
      </c>
    </row>
    <row r="6" spans="1:14" x14ac:dyDescent="0.25">
      <c r="A6">
        <v>2</v>
      </c>
      <c r="B6" t="s">
        <v>1310</v>
      </c>
    </row>
    <row r="7" spans="1:14" x14ac:dyDescent="0.25">
      <c r="A7">
        <v>3</v>
      </c>
      <c r="B7" t="s">
        <v>1312</v>
      </c>
      <c r="F7" t="s">
        <v>1314</v>
      </c>
    </row>
    <row r="8" spans="1:14" x14ac:dyDescent="0.25">
      <c r="A8" s="82">
        <v>4</v>
      </c>
      <c r="B8" s="82" t="s">
        <v>1317</v>
      </c>
      <c r="C8" s="82"/>
      <c r="D8" s="82"/>
    </row>
    <row r="9" spans="1:14" x14ac:dyDescent="0.25">
      <c r="A9">
        <v>5</v>
      </c>
      <c r="B9" t="s">
        <v>1318</v>
      </c>
    </row>
    <row r="10" spans="1:14" x14ac:dyDescent="0.25">
      <c r="A10" s="82">
        <v>6</v>
      </c>
      <c r="B10" s="82" t="s">
        <v>1319</v>
      </c>
      <c r="C10" s="82"/>
      <c r="D10" s="82"/>
      <c r="E10" s="82" t="s">
        <v>1320</v>
      </c>
      <c r="F10" s="82" t="s">
        <v>1321</v>
      </c>
      <c r="G10" s="82"/>
      <c r="H10" s="82"/>
      <c r="I10" s="82"/>
      <c r="J10" s="82"/>
      <c r="K10" s="82"/>
      <c r="L10" s="82" t="s">
        <v>1322</v>
      </c>
      <c r="M10" s="82"/>
      <c r="N10" s="82"/>
    </row>
    <row r="11" spans="1:14" x14ac:dyDescent="0.25">
      <c r="A11" s="82"/>
      <c r="B11" s="82"/>
      <c r="C11" s="82"/>
      <c r="D11" s="82" t="s">
        <v>1323</v>
      </c>
      <c r="E11" s="82"/>
      <c r="F11" s="82"/>
      <c r="G11" s="82"/>
      <c r="H11" s="82"/>
      <c r="I11" s="82"/>
      <c r="J11" s="82"/>
      <c r="K11" s="82"/>
      <c r="L11" s="82"/>
      <c r="M11" s="82"/>
      <c r="N11" s="82"/>
    </row>
    <row r="12" spans="1:14" x14ac:dyDescent="0.25">
      <c r="A12">
        <v>7</v>
      </c>
      <c r="B12" t="s">
        <v>1324</v>
      </c>
      <c r="C12" t="s">
        <v>1325</v>
      </c>
    </row>
    <row r="13" spans="1:14" x14ac:dyDescent="0.25">
      <c r="A13" s="82">
        <v>8</v>
      </c>
      <c r="B13" s="82" t="s">
        <v>1326</v>
      </c>
      <c r="C13" s="82" t="s">
        <v>1327</v>
      </c>
      <c r="D13" s="82"/>
      <c r="E13" s="82" t="s">
        <v>389</v>
      </c>
      <c r="F13" s="82" t="s">
        <v>137</v>
      </c>
      <c r="G13" s="82" t="s">
        <v>1328</v>
      </c>
      <c r="H13" s="82"/>
    </row>
    <row r="14" spans="1:14" x14ac:dyDescent="0.25">
      <c r="A14" s="82">
        <v>9</v>
      </c>
      <c r="B14" s="82" t="s">
        <v>90</v>
      </c>
      <c r="C14" s="82"/>
      <c r="D14" s="82" t="s">
        <v>1329</v>
      </c>
      <c r="E14" s="82"/>
      <c r="F14" s="82"/>
    </row>
    <row r="15" spans="1:14" x14ac:dyDescent="0.25">
      <c r="A15">
        <v>10</v>
      </c>
      <c r="B15" s="82" t="s">
        <v>1330</v>
      </c>
      <c r="D15" t="s">
        <v>1331</v>
      </c>
      <c r="E15" t="s">
        <v>715</v>
      </c>
      <c r="G15" t="s">
        <v>1178</v>
      </c>
      <c r="J15" t="s">
        <v>1357</v>
      </c>
    </row>
    <row r="16" spans="1:14" x14ac:dyDescent="0.25">
      <c r="A16">
        <v>11</v>
      </c>
      <c r="B16" t="s">
        <v>1332</v>
      </c>
      <c r="E16" t="s">
        <v>1333</v>
      </c>
      <c r="I16" t="s">
        <v>1358</v>
      </c>
    </row>
    <row r="17" spans="1:8" x14ac:dyDescent="0.25">
      <c r="A17">
        <v>12</v>
      </c>
      <c r="B17" t="s">
        <v>1334</v>
      </c>
      <c r="C17" t="s">
        <v>1335</v>
      </c>
    </row>
    <row r="18" spans="1:8" x14ac:dyDescent="0.25">
      <c r="A18">
        <v>13</v>
      </c>
      <c r="B18" t="s">
        <v>1336</v>
      </c>
      <c r="E18" t="s">
        <v>1337</v>
      </c>
    </row>
    <row r="19" spans="1:8" x14ac:dyDescent="0.25">
      <c r="A19">
        <v>14</v>
      </c>
      <c r="B19" t="s">
        <v>1338</v>
      </c>
      <c r="E19" t="s">
        <v>1361</v>
      </c>
    </row>
    <row r="20" spans="1:8" x14ac:dyDescent="0.25">
      <c r="A20">
        <v>15</v>
      </c>
      <c r="B20" t="s">
        <v>1339</v>
      </c>
      <c r="E20" t="s">
        <v>1340</v>
      </c>
      <c r="H20" t="s">
        <v>1341</v>
      </c>
    </row>
    <row r="21" spans="1:8" x14ac:dyDescent="0.25">
      <c r="C21" t="s">
        <v>1342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0"/>
  <sheetViews>
    <sheetView topLeftCell="D1" zoomScaleNormal="100" workbookViewId="0">
      <pane ySplit="1" topLeftCell="A46" activePane="bottomLeft" state="frozen"/>
      <selection activeCell="B1" sqref="B1"/>
      <selection pane="bottomLeft" activeCell="J57" sqref="J57"/>
    </sheetView>
  </sheetViews>
  <sheetFormatPr defaultRowHeight="15" x14ac:dyDescent="0.25"/>
  <cols>
    <col min="2" max="2" width="34.5703125" customWidth="1"/>
  </cols>
  <sheetData>
    <row r="1" spans="1:21" ht="165" customHeight="1" x14ac:dyDescent="0.25"/>
    <row r="2" spans="1:21" ht="19.5" customHeight="1" x14ac:dyDescent="0.3">
      <c r="A2" s="71"/>
      <c r="B2" s="79" t="s">
        <v>604</v>
      </c>
      <c r="C2" s="71"/>
      <c r="D2" s="71"/>
      <c r="E2" s="71" t="s">
        <v>605</v>
      </c>
      <c r="F2" s="71"/>
      <c r="G2" s="71"/>
      <c r="H2" s="71"/>
      <c r="N2" s="112"/>
      <c r="O2" s="113"/>
      <c r="P2" s="114"/>
      <c r="Q2" s="115" t="s">
        <v>1214</v>
      </c>
    </row>
    <row r="3" spans="1:21" ht="19.5" customHeight="1" x14ac:dyDescent="0.25">
      <c r="A3" s="71"/>
      <c r="B3" s="71" t="s">
        <v>1138</v>
      </c>
      <c r="C3" s="71"/>
      <c r="D3" s="71"/>
      <c r="E3" s="71"/>
      <c r="F3" s="71"/>
      <c r="G3" s="71"/>
      <c r="H3" s="71"/>
      <c r="N3" s="112"/>
      <c r="O3" s="113"/>
      <c r="P3" s="114"/>
      <c r="Q3" s="115" t="s">
        <v>1214</v>
      </c>
    </row>
    <row r="4" spans="1:21" ht="19.5" customHeight="1" x14ac:dyDescent="0.25">
      <c r="A4" s="71"/>
      <c r="B4" s="71" t="s">
        <v>1139</v>
      </c>
      <c r="C4" s="71"/>
      <c r="D4" s="71"/>
      <c r="E4" s="71"/>
      <c r="F4" s="71"/>
      <c r="G4" s="71"/>
      <c r="H4" s="71"/>
      <c r="L4" s="332" t="s">
        <v>1217</v>
      </c>
      <c r="M4" s="333"/>
      <c r="N4" s="112"/>
      <c r="O4" s="113"/>
      <c r="P4" s="114"/>
      <c r="Q4" s="115" t="s">
        <v>1214</v>
      </c>
    </row>
    <row r="5" spans="1:21" ht="19.5" customHeight="1" x14ac:dyDescent="0.25">
      <c r="A5" s="71"/>
      <c r="B5" s="71" t="s">
        <v>1211</v>
      </c>
      <c r="C5" s="71"/>
      <c r="D5" s="71"/>
      <c r="E5" s="71"/>
      <c r="F5" s="71"/>
      <c r="G5" s="71"/>
      <c r="H5" s="71"/>
      <c r="L5" s="332" t="s">
        <v>1219</v>
      </c>
      <c r="M5" s="333"/>
      <c r="N5" s="112"/>
      <c r="O5" s="113"/>
      <c r="P5" s="114"/>
      <c r="Q5" s="115" t="s">
        <v>1214</v>
      </c>
    </row>
    <row r="6" spans="1:21" ht="19.5" customHeight="1" x14ac:dyDescent="0.25">
      <c r="A6" s="71"/>
      <c r="B6" s="71" t="s">
        <v>1212</v>
      </c>
      <c r="C6" s="71"/>
      <c r="D6" s="71"/>
      <c r="E6" s="71"/>
      <c r="F6" s="71"/>
      <c r="G6" s="71"/>
      <c r="H6" s="71"/>
      <c r="L6" s="332" t="s">
        <v>1221</v>
      </c>
      <c r="M6" s="333"/>
      <c r="N6" s="112"/>
      <c r="O6" s="113"/>
      <c r="P6" s="114"/>
      <c r="Q6" s="115" t="s">
        <v>1214</v>
      </c>
      <c r="R6" s="330" t="s">
        <v>1222</v>
      </c>
      <c r="S6" s="331"/>
      <c r="T6" s="331"/>
      <c r="U6" s="331"/>
    </row>
    <row r="7" spans="1:21" ht="19.5" customHeight="1" x14ac:dyDescent="0.25">
      <c r="A7" s="71" t="s">
        <v>1213</v>
      </c>
      <c r="B7" s="336" t="s">
        <v>1261</v>
      </c>
      <c r="C7" s="337"/>
      <c r="D7" s="71"/>
      <c r="E7" s="71"/>
      <c r="F7" s="71"/>
      <c r="G7" s="338" t="s">
        <v>1215</v>
      </c>
      <c r="H7" s="339"/>
      <c r="I7" s="339"/>
      <c r="J7" s="339"/>
      <c r="L7" s="332" t="s">
        <v>1223</v>
      </c>
      <c r="M7" s="333"/>
      <c r="N7" s="112"/>
      <c r="O7" s="113"/>
      <c r="P7" s="114"/>
      <c r="Q7" s="115" t="s">
        <v>1214</v>
      </c>
      <c r="R7" s="334" t="s">
        <v>1224</v>
      </c>
      <c r="S7" s="331"/>
      <c r="T7" s="331"/>
      <c r="U7" s="331"/>
    </row>
    <row r="8" spans="1:21" ht="19.5" customHeight="1" x14ac:dyDescent="0.25">
      <c r="A8" s="71"/>
      <c r="B8" s="336" t="s">
        <v>1260</v>
      </c>
      <c r="C8" s="337"/>
      <c r="D8" s="71"/>
      <c r="E8" s="71"/>
      <c r="F8" s="71"/>
      <c r="G8" s="330" t="s">
        <v>1216</v>
      </c>
      <c r="H8" s="331"/>
      <c r="I8" s="331"/>
      <c r="J8" s="331"/>
      <c r="L8" s="332" t="s">
        <v>1225</v>
      </c>
      <c r="M8" s="333"/>
      <c r="N8" s="112"/>
      <c r="O8" s="113"/>
      <c r="P8" s="114"/>
      <c r="Q8" s="115" t="s">
        <v>1214</v>
      </c>
      <c r="R8" s="330" t="s">
        <v>1226</v>
      </c>
      <c r="S8" s="331"/>
      <c r="T8" s="331"/>
      <c r="U8" s="331"/>
    </row>
    <row r="9" spans="1:21" ht="19.5" customHeight="1" x14ac:dyDescent="0.25">
      <c r="A9" s="71"/>
      <c r="B9" s="88" t="s">
        <v>1249</v>
      </c>
      <c r="C9" s="88"/>
      <c r="D9" s="71"/>
      <c r="E9" s="71"/>
      <c r="F9" s="71"/>
      <c r="G9" s="71" t="s">
        <v>1250</v>
      </c>
      <c r="H9" s="71"/>
      <c r="L9" s="332" t="s">
        <v>1227</v>
      </c>
      <c r="M9" s="333"/>
      <c r="N9" s="112"/>
      <c r="O9" s="113"/>
      <c r="P9" s="114"/>
      <c r="Q9" s="115" t="s">
        <v>1214</v>
      </c>
      <c r="R9" s="343" t="s">
        <v>1228</v>
      </c>
      <c r="S9" s="331"/>
      <c r="T9" s="331"/>
      <c r="U9" s="331"/>
    </row>
    <row r="10" spans="1:21" ht="19.5" customHeight="1" x14ac:dyDescent="0.25">
      <c r="A10" s="71"/>
      <c r="B10" s="88" t="s">
        <v>1251</v>
      </c>
      <c r="C10" s="88"/>
      <c r="D10" s="71"/>
      <c r="E10" s="71"/>
      <c r="F10" s="71"/>
      <c r="G10" s="71" t="s">
        <v>1252</v>
      </c>
      <c r="H10" s="71"/>
      <c r="L10" s="332" t="s">
        <v>1229</v>
      </c>
      <c r="M10" s="333"/>
      <c r="N10" s="112"/>
      <c r="O10" s="113"/>
      <c r="P10" s="114"/>
      <c r="Q10" s="115" t="s">
        <v>1214</v>
      </c>
      <c r="R10" s="330" t="s">
        <v>1230</v>
      </c>
      <c r="S10" s="331"/>
      <c r="T10" s="331"/>
      <c r="U10" s="331"/>
    </row>
    <row r="11" spans="1:21" ht="19.5" customHeight="1" x14ac:dyDescent="0.25">
      <c r="A11" s="71"/>
      <c r="B11" s="88" t="s">
        <v>1253</v>
      </c>
      <c r="C11" s="88"/>
      <c r="D11" s="71"/>
      <c r="E11" s="71"/>
      <c r="F11" s="71"/>
      <c r="G11" s="71" t="s">
        <v>1254</v>
      </c>
      <c r="H11" s="71"/>
      <c r="N11" s="112"/>
      <c r="O11" s="113"/>
      <c r="P11" s="114"/>
      <c r="Q11" s="115" t="s">
        <v>1214</v>
      </c>
    </row>
    <row r="12" spans="1:21" ht="19.5" customHeight="1" x14ac:dyDescent="0.25">
      <c r="A12" s="71"/>
      <c r="B12" s="88" t="s">
        <v>1255</v>
      </c>
      <c r="C12" s="88"/>
      <c r="D12" s="71"/>
      <c r="E12" s="71"/>
      <c r="F12" s="71"/>
      <c r="G12" s="71" t="s">
        <v>1256</v>
      </c>
      <c r="H12" s="71"/>
      <c r="L12" s="332" t="s">
        <v>1233</v>
      </c>
      <c r="M12" s="333"/>
      <c r="N12" s="112"/>
      <c r="O12" s="113"/>
      <c r="P12" s="114"/>
      <c r="Q12" s="115" t="s">
        <v>1214</v>
      </c>
      <c r="R12" s="330" t="s">
        <v>1234</v>
      </c>
      <c r="S12" s="331"/>
      <c r="T12" s="331"/>
      <c r="U12" s="331"/>
    </row>
    <row r="13" spans="1:21" ht="19.5" customHeight="1" x14ac:dyDescent="0.25">
      <c r="A13" s="71"/>
      <c r="B13" s="88" t="s">
        <v>1257</v>
      </c>
      <c r="C13" s="88"/>
      <c r="D13" s="71"/>
      <c r="E13" s="71"/>
      <c r="F13" s="71"/>
      <c r="G13" s="330" t="s">
        <v>1218</v>
      </c>
      <c r="H13" s="331"/>
      <c r="I13" s="331"/>
      <c r="J13" s="331"/>
      <c r="L13" s="332" t="s">
        <v>1235</v>
      </c>
      <c r="M13" s="333"/>
      <c r="N13" s="112"/>
      <c r="O13" s="113"/>
      <c r="P13" s="114"/>
      <c r="Q13" s="115" t="s">
        <v>1214</v>
      </c>
      <c r="R13" s="330" t="s">
        <v>1236</v>
      </c>
      <c r="S13" s="331"/>
      <c r="T13" s="331"/>
      <c r="U13" s="331"/>
    </row>
    <row r="14" spans="1:21" ht="19.5" customHeight="1" x14ac:dyDescent="0.25">
      <c r="A14" s="71"/>
      <c r="B14" s="88" t="s">
        <v>1010</v>
      </c>
      <c r="C14" s="88"/>
      <c r="D14" s="71"/>
      <c r="E14" s="71"/>
      <c r="F14" s="71"/>
      <c r="G14" s="330" t="s">
        <v>1220</v>
      </c>
      <c r="H14" s="331"/>
      <c r="I14" s="331"/>
      <c r="J14" s="331"/>
      <c r="L14" s="332" t="s">
        <v>1237</v>
      </c>
      <c r="M14" s="333"/>
      <c r="N14" s="112"/>
      <c r="O14" s="113"/>
      <c r="P14" s="114"/>
      <c r="Q14" s="115" t="s">
        <v>1214</v>
      </c>
      <c r="R14" s="330" t="s">
        <v>1238</v>
      </c>
      <c r="S14" s="331"/>
      <c r="T14" s="331"/>
      <c r="U14" s="331"/>
    </row>
    <row r="15" spans="1:21" ht="19.5" customHeight="1" x14ac:dyDescent="0.25">
      <c r="A15" s="71"/>
      <c r="B15" s="336" t="s">
        <v>1231</v>
      </c>
      <c r="C15" s="340"/>
      <c r="D15" s="71"/>
      <c r="E15" s="71"/>
      <c r="F15" s="71"/>
      <c r="G15" s="341" t="s">
        <v>1232</v>
      </c>
      <c r="H15" s="342"/>
      <c r="I15" s="342"/>
      <c r="J15" s="342"/>
      <c r="L15" s="332" t="s">
        <v>1239</v>
      </c>
      <c r="M15" s="333"/>
      <c r="N15" s="112"/>
      <c r="O15" s="113"/>
      <c r="P15" s="114"/>
      <c r="Q15" s="115" t="s">
        <v>1214</v>
      </c>
      <c r="R15" s="341" t="s">
        <v>1240</v>
      </c>
      <c r="S15" s="342"/>
      <c r="T15" s="342"/>
      <c r="U15" s="342"/>
    </row>
    <row r="16" spans="1:21" ht="19.5" customHeight="1" x14ac:dyDescent="0.25">
      <c r="A16" s="71"/>
      <c r="B16" s="88" t="s">
        <v>1258</v>
      </c>
      <c r="C16" s="88"/>
      <c r="D16" s="71"/>
      <c r="E16" s="71"/>
      <c r="F16" s="71"/>
      <c r="G16" s="71" t="s">
        <v>1259</v>
      </c>
      <c r="H16" s="71"/>
      <c r="L16" s="332" t="s">
        <v>1241</v>
      </c>
      <c r="M16" s="333"/>
      <c r="N16" s="112"/>
      <c r="O16" s="113"/>
      <c r="P16" s="114"/>
      <c r="Q16" s="115" t="s">
        <v>1214</v>
      </c>
      <c r="R16" s="341" t="s">
        <v>1242</v>
      </c>
      <c r="S16" s="342"/>
      <c r="T16" s="342"/>
      <c r="U16" s="342"/>
    </row>
    <row r="17" spans="1:21" ht="19.5" customHeight="1" x14ac:dyDescent="0.25">
      <c r="A17" s="71"/>
      <c r="B17" s="336" t="s">
        <v>1243</v>
      </c>
      <c r="C17" s="340"/>
      <c r="D17" s="71"/>
      <c r="E17" s="71"/>
      <c r="F17" s="71"/>
      <c r="G17" s="341" t="s">
        <v>1244</v>
      </c>
      <c r="H17" s="342"/>
      <c r="I17" s="342"/>
      <c r="J17" s="342"/>
      <c r="N17" s="112"/>
      <c r="O17" s="113"/>
      <c r="P17" s="114"/>
      <c r="Q17" s="115" t="s">
        <v>1214</v>
      </c>
    </row>
    <row r="18" spans="1:21" ht="19.5" customHeight="1" x14ac:dyDescent="0.25">
      <c r="A18" s="71"/>
      <c r="B18" s="71"/>
      <c r="C18" s="71"/>
      <c r="D18" s="71"/>
      <c r="E18" s="71"/>
      <c r="F18" s="71"/>
      <c r="G18" s="71"/>
      <c r="H18" s="71"/>
      <c r="L18" s="332" t="s">
        <v>1245</v>
      </c>
      <c r="M18" s="333"/>
      <c r="N18" s="112"/>
      <c r="O18" s="113"/>
      <c r="P18" s="114"/>
      <c r="Q18" s="115" t="s">
        <v>1214</v>
      </c>
      <c r="R18" s="341" t="s">
        <v>1246</v>
      </c>
      <c r="S18" s="342"/>
      <c r="T18" s="342"/>
      <c r="U18" s="342"/>
    </row>
    <row r="19" spans="1:21" ht="15.75" x14ac:dyDescent="0.25">
      <c r="A19" s="71"/>
      <c r="B19" s="71" t="s">
        <v>1140</v>
      </c>
      <c r="C19" s="71"/>
      <c r="D19" s="71"/>
      <c r="E19" s="71"/>
      <c r="F19" s="71"/>
      <c r="G19" s="71"/>
      <c r="H19" s="71"/>
      <c r="I19" s="54"/>
      <c r="J19" s="54"/>
      <c r="L19" s="332" t="s">
        <v>1247</v>
      </c>
      <c r="M19" s="333"/>
      <c r="N19" s="112"/>
      <c r="O19" s="113"/>
      <c r="P19" s="114"/>
      <c r="Q19" s="115" t="s">
        <v>1214</v>
      </c>
      <c r="R19" s="341" t="s">
        <v>1248</v>
      </c>
      <c r="S19" s="342"/>
      <c r="T19" s="342"/>
      <c r="U19" s="342"/>
    </row>
    <row r="20" spans="1:21" ht="15.75" x14ac:dyDescent="0.25">
      <c r="A20" s="71"/>
      <c r="B20" s="71" t="s">
        <v>1141</v>
      </c>
      <c r="C20" s="71"/>
      <c r="D20" s="71"/>
      <c r="E20" s="71"/>
      <c r="F20" s="71"/>
      <c r="G20" s="71"/>
      <c r="H20" s="71"/>
      <c r="I20" s="54"/>
      <c r="J20" s="54"/>
    </row>
    <row r="21" spans="1:21" ht="15.75" x14ac:dyDescent="0.25">
      <c r="A21" s="71"/>
      <c r="B21" s="71"/>
      <c r="C21" s="71"/>
      <c r="D21" s="71"/>
      <c r="E21" s="71"/>
      <c r="F21" s="71"/>
      <c r="G21" s="71"/>
      <c r="H21" s="71"/>
      <c r="I21" s="54"/>
      <c r="J21" s="54"/>
    </row>
    <row r="22" spans="1:21" ht="15.75" x14ac:dyDescent="0.25">
      <c r="A22" s="71"/>
      <c r="B22" s="71" t="s">
        <v>1087</v>
      </c>
      <c r="C22" s="71"/>
      <c r="D22" s="71"/>
      <c r="E22" s="71"/>
      <c r="F22" s="71"/>
      <c r="G22" s="71"/>
      <c r="H22" s="71"/>
      <c r="J22" s="54"/>
      <c r="K22" s="335"/>
    </row>
    <row r="23" spans="1:21" ht="21" x14ac:dyDescent="0.35">
      <c r="A23" s="71"/>
      <c r="B23" s="71"/>
      <c r="C23" s="71" t="s">
        <v>1088</v>
      </c>
      <c r="D23" s="71"/>
      <c r="E23" s="71"/>
      <c r="F23" s="71"/>
      <c r="G23" s="71"/>
      <c r="H23" s="71"/>
      <c r="J23" s="54"/>
      <c r="K23" s="335"/>
      <c r="L23" s="98">
        <f>GOODSTOT/AVHH*EXP(0.2*OCCNORM)*RECYC3*CRED3*QUAL3</f>
        <v>1.3748683296007418</v>
      </c>
      <c r="M23" s="74" t="s">
        <v>784</v>
      </c>
      <c r="O23" s="107">
        <f>(GOODSPERCAP+SERVPERCAP+BSPERCAP)</f>
        <v>4.3522604062089751</v>
      </c>
      <c r="P23" s="74" t="s">
        <v>787</v>
      </c>
      <c r="S23">
        <v>1.56</v>
      </c>
    </row>
    <row r="24" spans="1:21" ht="21" x14ac:dyDescent="0.35">
      <c r="A24" s="71"/>
      <c r="B24" s="71" t="s">
        <v>1142</v>
      </c>
      <c r="C24" s="71"/>
      <c r="D24" s="71"/>
      <c r="E24" s="71"/>
      <c r="F24" s="71"/>
      <c r="G24" s="71"/>
      <c r="H24" s="71"/>
      <c r="J24" s="54"/>
      <c r="K24" s="335"/>
      <c r="L24" s="98"/>
      <c r="M24" s="74"/>
      <c r="O24" s="107"/>
      <c r="P24" s="74"/>
    </row>
    <row r="25" spans="1:21" ht="18.75" x14ac:dyDescent="0.3">
      <c r="A25" s="71"/>
      <c r="B25" s="71" t="s">
        <v>1092</v>
      </c>
      <c r="C25" s="71"/>
      <c r="D25" s="71"/>
      <c r="E25" s="71"/>
      <c r="F25" s="71"/>
      <c r="G25" s="71"/>
      <c r="H25" s="71"/>
      <c r="J25" s="56"/>
      <c r="K25" s="335"/>
      <c r="L25" s="98">
        <f>SERVTOT/AVHH*EXP(0.08*OCCNORM)*QUAL3*CRED3</f>
        <v>1.3331338327283964</v>
      </c>
      <c r="M25" s="74" t="s">
        <v>785</v>
      </c>
      <c r="O25" s="54"/>
      <c r="P25" s="34"/>
      <c r="S25">
        <v>1.24</v>
      </c>
    </row>
    <row r="26" spans="1:21" ht="18.75" x14ac:dyDescent="0.3">
      <c r="A26" s="71"/>
      <c r="B26" s="71" t="s">
        <v>1153</v>
      </c>
      <c r="C26" s="71"/>
      <c r="D26" s="71"/>
      <c r="E26" s="71"/>
      <c r="F26" s="71"/>
      <c r="G26" s="71"/>
      <c r="H26" s="71"/>
      <c r="J26" s="56"/>
      <c r="K26" s="335"/>
      <c r="L26" s="98">
        <f>N61/AVHH*EXP(0.08*OCCNORM)*ETH_3</f>
        <v>1.6442582438798368</v>
      </c>
      <c r="M26" s="74" t="s">
        <v>786</v>
      </c>
      <c r="O26" s="54"/>
      <c r="P26" s="34"/>
      <c r="S26" t="s">
        <v>1109</v>
      </c>
    </row>
    <row r="27" spans="1:21" ht="15.75" x14ac:dyDescent="0.25">
      <c r="A27" s="71"/>
      <c r="B27" s="71" t="s">
        <v>1089</v>
      </c>
      <c r="C27" s="71"/>
      <c r="D27" s="71"/>
      <c r="E27" s="71"/>
      <c r="F27" s="71"/>
      <c r="G27" s="71"/>
      <c r="H27" s="71"/>
      <c r="J27" s="56"/>
      <c r="K27" s="335"/>
      <c r="L27" s="55"/>
      <c r="O27" s="54"/>
      <c r="P27" s="34"/>
    </row>
    <row r="28" spans="1:21" x14ac:dyDescent="0.25">
      <c r="A28" s="71"/>
      <c r="B28" s="71"/>
      <c r="C28" s="71" t="s">
        <v>1090</v>
      </c>
      <c r="D28" s="71"/>
      <c r="E28" s="71"/>
      <c r="F28" s="71"/>
      <c r="G28" s="71"/>
      <c r="H28" s="71"/>
    </row>
    <row r="29" spans="1:21" x14ac:dyDescent="0.25">
      <c r="A29" s="71"/>
      <c r="B29" s="71" t="s">
        <v>1091</v>
      </c>
      <c r="C29" s="72"/>
      <c r="D29" s="71"/>
      <c r="E29" s="72"/>
      <c r="F29" s="72"/>
      <c r="G29" s="71"/>
      <c r="H29" s="71"/>
    </row>
    <row r="30" spans="1:21" x14ac:dyDescent="0.25">
      <c r="A30" s="71"/>
      <c r="B30" s="71"/>
      <c r="C30" s="72"/>
      <c r="D30" s="71"/>
      <c r="E30" s="72"/>
      <c r="F30" s="72"/>
      <c r="G30" s="71"/>
      <c r="H30" s="71"/>
    </row>
    <row r="31" spans="1:21" x14ac:dyDescent="0.25">
      <c r="A31" s="71"/>
      <c r="B31" s="71"/>
      <c r="C31" s="72"/>
      <c r="D31" s="71"/>
      <c r="E31" s="72"/>
      <c r="F31" s="72"/>
      <c r="G31" s="71"/>
      <c r="H31" s="71"/>
    </row>
    <row r="32" spans="1:21" x14ac:dyDescent="0.25">
      <c r="A32" s="71"/>
      <c r="B32" s="71"/>
      <c r="C32" s="71"/>
      <c r="D32" s="71"/>
      <c r="E32" s="71"/>
      <c r="F32" s="71" t="s">
        <v>766</v>
      </c>
      <c r="G32" s="71"/>
      <c r="H32" s="71"/>
      <c r="I32" t="s">
        <v>95</v>
      </c>
    </row>
    <row r="33" spans="1:26" x14ac:dyDescent="0.25">
      <c r="A33" s="71"/>
      <c r="B33" s="71"/>
      <c r="C33" s="71"/>
      <c r="D33" s="71"/>
      <c r="E33" s="71"/>
      <c r="F33" s="71" t="s">
        <v>95</v>
      </c>
      <c r="G33" s="71"/>
      <c r="H33" s="71"/>
      <c r="I33" t="s">
        <v>767</v>
      </c>
      <c r="J33" t="s">
        <v>768</v>
      </c>
      <c r="L33" t="s">
        <v>769</v>
      </c>
      <c r="M33" t="s">
        <v>770</v>
      </c>
    </row>
    <row r="34" spans="1:26" x14ac:dyDescent="0.25">
      <c r="A34" s="71"/>
      <c r="B34" s="71"/>
      <c r="C34" s="71"/>
      <c r="D34" s="71"/>
      <c r="E34" s="71"/>
      <c r="F34" s="71"/>
      <c r="G34" s="71"/>
      <c r="H34" s="71"/>
      <c r="N34" t="s">
        <v>765</v>
      </c>
    </row>
    <row r="35" spans="1:26" x14ac:dyDescent="0.25">
      <c r="A35" s="71">
        <f t="shared" ref="A35:A56" si="0">F35*INCSCORE*10</f>
        <v>1154.5293072824156</v>
      </c>
      <c r="B35" s="71"/>
      <c r="C35" s="71"/>
      <c r="D35" s="71"/>
      <c r="E35" s="102" t="s">
        <v>777</v>
      </c>
      <c r="F35" s="103">
        <f>I35*100/(563*0.7)</f>
        <v>4.6181172291296626</v>
      </c>
      <c r="G35" s="106">
        <f>F35</f>
        <v>4.6181172291296626</v>
      </c>
      <c r="H35" s="71"/>
      <c r="I35" s="4">
        <v>18.2</v>
      </c>
      <c r="J35" s="3">
        <f>I35*100/(563)</f>
        <v>3.2326820603907636</v>
      </c>
      <c r="L35">
        <v>1.5</v>
      </c>
      <c r="M35" s="46">
        <f t="shared" ref="M35:M54" si="1">G35*(INCSCORE-INCSCORE*OFFSET/100)*L35*0.7/100</f>
        <v>1.2122557726465366</v>
      </c>
      <c r="N35" t="s">
        <v>1023</v>
      </c>
    </row>
    <row r="36" spans="1:26" x14ac:dyDescent="0.25">
      <c r="A36" s="71">
        <f t="shared" si="0"/>
        <v>0</v>
      </c>
      <c r="B36" s="71"/>
      <c r="C36" s="71"/>
      <c r="D36" s="71"/>
      <c r="E36" s="88" t="s">
        <v>771</v>
      </c>
      <c r="F36" s="103">
        <f t="shared" ref="F36:F54" si="2">I36*100/(563*0.7)</f>
        <v>0</v>
      </c>
      <c r="G36" s="106">
        <f t="shared" ref="G36:G54" si="3">F36</f>
        <v>0</v>
      </c>
      <c r="H36" s="71"/>
      <c r="I36">
        <v>0</v>
      </c>
      <c r="J36" s="3">
        <f t="shared" ref="J36:J54" si="4">I36*100/482</f>
        <v>0</v>
      </c>
      <c r="L36">
        <v>0.89</v>
      </c>
      <c r="M36" s="46">
        <f t="shared" si="1"/>
        <v>0</v>
      </c>
    </row>
    <row r="37" spans="1:26" x14ac:dyDescent="0.25">
      <c r="A37" s="71">
        <f t="shared" si="0"/>
        <v>2569.1448870844965</v>
      </c>
      <c r="B37" s="71"/>
      <c r="C37" s="71"/>
      <c r="D37" s="71"/>
      <c r="E37" s="102" t="s">
        <v>776</v>
      </c>
      <c r="F37" s="103">
        <f t="shared" si="2"/>
        <v>10.276579548337986</v>
      </c>
      <c r="G37" s="106">
        <f t="shared" si="3"/>
        <v>10.276579548337986</v>
      </c>
      <c r="H37" s="71"/>
      <c r="I37">
        <v>40.5</v>
      </c>
      <c r="J37" s="3">
        <f t="shared" si="4"/>
        <v>8.4024896265560169</v>
      </c>
      <c r="L37">
        <v>0.8</v>
      </c>
      <c r="M37" s="46">
        <f t="shared" si="1"/>
        <v>1.4387211367673181</v>
      </c>
    </row>
    <row r="38" spans="1:26" x14ac:dyDescent="0.25">
      <c r="A38" s="71">
        <f t="shared" si="0"/>
        <v>875.41233189545801</v>
      </c>
      <c r="B38" s="71"/>
      <c r="C38" s="71"/>
      <c r="D38" s="71"/>
      <c r="E38" s="88" t="s">
        <v>773</v>
      </c>
      <c r="F38" s="103">
        <f t="shared" si="2"/>
        <v>3.5016493275818323</v>
      </c>
      <c r="G38" s="106">
        <f t="shared" si="3"/>
        <v>3.5016493275818323</v>
      </c>
      <c r="H38" s="71"/>
      <c r="I38">
        <v>13.8</v>
      </c>
      <c r="J38" s="3">
        <f t="shared" si="4"/>
        <v>2.8630705394190872</v>
      </c>
      <c r="L38">
        <v>0.52</v>
      </c>
      <c r="M38" s="46">
        <f t="shared" si="1"/>
        <v>0.31865008880994672</v>
      </c>
      <c r="N38" s="52">
        <v>0.6</v>
      </c>
      <c r="O38" s="52" t="s">
        <v>1163</v>
      </c>
      <c r="P38" s="52"/>
      <c r="Q38" s="52" t="s">
        <v>1164</v>
      </c>
      <c r="R38" s="52"/>
      <c r="S38" s="52"/>
      <c r="T38" s="52"/>
      <c r="U38" s="52"/>
      <c r="V38" s="52"/>
      <c r="W38" s="52"/>
      <c r="X38" s="52"/>
      <c r="Y38" s="52"/>
      <c r="Z38" s="52"/>
    </row>
    <row r="39" spans="1:26" x14ac:dyDescent="0.25">
      <c r="A39" s="71">
        <f t="shared" si="0"/>
        <v>634.35676224308554</v>
      </c>
      <c r="B39" s="71"/>
      <c r="C39" s="71"/>
      <c r="D39" s="71"/>
      <c r="E39" s="88" t="s">
        <v>1154</v>
      </c>
      <c r="F39" s="103">
        <f t="shared" si="2"/>
        <v>2.5374270489723423</v>
      </c>
      <c r="G39" s="106">
        <f t="shared" si="3"/>
        <v>2.5374270489723423</v>
      </c>
      <c r="H39" s="71"/>
      <c r="I39">
        <v>10</v>
      </c>
      <c r="J39" s="3">
        <f t="shared" si="4"/>
        <v>2.0746887966804981</v>
      </c>
      <c r="L39">
        <v>0.5</v>
      </c>
      <c r="M39" s="46">
        <f t="shared" si="1"/>
        <v>0.22202486678507996</v>
      </c>
      <c r="N39" s="52">
        <v>0.5</v>
      </c>
      <c r="O39" s="52" t="s">
        <v>1165</v>
      </c>
      <c r="P39" s="52"/>
      <c r="Q39" s="52" t="s">
        <v>1171</v>
      </c>
      <c r="R39" s="52"/>
      <c r="S39" s="52"/>
      <c r="T39" s="52"/>
      <c r="U39" s="52"/>
      <c r="V39" s="52"/>
      <c r="W39" s="52"/>
      <c r="X39" s="52"/>
      <c r="Y39" s="52"/>
      <c r="Z39" s="52"/>
    </row>
    <row r="40" spans="1:26" x14ac:dyDescent="0.25">
      <c r="A40" s="71">
        <f t="shared" si="0"/>
        <v>304.49124587668109</v>
      </c>
      <c r="B40" s="71"/>
      <c r="C40" s="71"/>
      <c r="D40" s="71"/>
      <c r="E40" s="88" t="s">
        <v>1146</v>
      </c>
      <c r="F40" s="103">
        <f t="shared" si="2"/>
        <v>1.2179649835067243</v>
      </c>
      <c r="G40" s="106">
        <f t="shared" si="3"/>
        <v>1.2179649835067243</v>
      </c>
      <c r="I40">
        <v>4.8</v>
      </c>
      <c r="J40" s="3">
        <f t="shared" si="4"/>
        <v>0.99585062240663902</v>
      </c>
      <c r="L40">
        <v>0.5</v>
      </c>
      <c r="M40" s="46">
        <f t="shared" si="1"/>
        <v>0.10657193605683837</v>
      </c>
      <c r="N40" s="52">
        <v>0.4</v>
      </c>
      <c r="O40" s="52" t="s">
        <v>1166</v>
      </c>
      <c r="P40" s="52"/>
      <c r="Q40" s="52" t="s">
        <v>1167</v>
      </c>
      <c r="R40" s="52"/>
      <c r="S40" s="52"/>
      <c r="T40" s="52"/>
      <c r="U40" s="52"/>
      <c r="V40" s="52"/>
      <c r="W40" s="52"/>
      <c r="X40" s="52"/>
      <c r="Y40" s="52"/>
      <c r="Z40" s="52"/>
    </row>
    <row r="41" spans="1:26" x14ac:dyDescent="0.25">
      <c r="A41" s="71">
        <f t="shared" si="0"/>
        <v>1972.8495305759961</v>
      </c>
      <c r="B41" s="71"/>
      <c r="C41" s="71"/>
      <c r="D41" s="71"/>
      <c r="E41" s="88" t="s">
        <v>1147</v>
      </c>
      <c r="F41" s="103">
        <f t="shared" si="2"/>
        <v>7.8913981223039844</v>
      </c>
      <c r="G41" s="106">
        <f t="shared" si="3"/>
        <v>7.8913981223039844</v>
      </c>
      <c r="H41" s="71"/>
      <c r="I41">
        <v>31.1</v>
      </c>
      <c r="J41" s="3">
        <f t="shared" si="4"/>
        <v>6.4522821576763487</v>
      </c>
      <c r="L41">
        <v>0.4</v>
      </c>
      <c r="M41" s="46">
        <f t="shared" si="1"/>
        <v>0.55239786856127893</v>
      </c>
      <c r="N41" s="52">
        <v>0.2</v>
      </c>
      <c r="O41" s="52" t="s">
        <v>111</v>
      </c>
      <c r="P41" s="52"/>
      <c r="Q41" s="52" t="s">
        <v>1168</v>
      </c>
      <c r="R41" s="52"/>
      <c r="S41" s="52"/>
      <c r="T41" s="52"/>
      <c r="U41" s="52"/>
      <c r="V41" s="52"/>
      <c r="W41" s="52"/>
      <c r="X41" s="52"/>
      <c r="Y41" s="52"/>
      <c r="Z41" s="52"/>
    </row>
    <row r="42" spans="1:26" x14ac:dyDescent="0.25">
      <c r="A42" s="71">
        <f t="shared" si="0"/>
        <v>570.92108601877703</v>
      </c>
      <c r="B42" s="71"/>
      <c r="C42" s="71"/>
      <c r="D42" s="71"/>
      <c r="E42" s="102" t="s">
        <v>1155</v>
      </c>
      <c r="F42" s="103">
        <f t="shared" si="2"/>
        <v>2.283684344075108</v>
      </c>
      <c r="G42" s="106">
        <f t="shared" si="3"/>
        <v>2.283684344075108</v>
      </c>
      <c r="H42" s="71"/>
      <c r="I42">
        <v>9</v>
      </c>
      <c r="J42" s="3">
        <f t="shared" si="4"/>
        <v>1.8672199170124482</v>
      </c>
      <c r="L42">
        <v>0.35</v>
      </c>
      <c r="M42" s="46">
        <f t="shared" si="1"/>
        <v>0.13987566607460034</v>
      </c>
      <c r="N42" s="52">
        <v>0.1</v>
      </c>
      <c r="O42" s="52" t="s">
        <v>1169</v>
      </c>
      <c r="P42" s="52"/>
      <c r="Q42" s="52" t="s">
        <v>1172</v>
      </c>
      <c r="R42" s="52"/>
      <c r="S42" s="52"/>
      <c r="T42" s="52"/>
      <c r="U42" s="52"/>
      <c r="V42" s="52"/>
      <c r="W42" s="52"/>
      <c r="X42" s="52"/>
      <c r="Y42" s="52"/>
      <c r="Z42" s="52"/>
    </row>
    <row r="43" spans="1:26" x14ac:dyDescent="0.25">
      <c r="A43" s="71">
        <f t="shared" si="0"/>
        <v>723.16670895711752</v>
      </c>
      <c r="B43" s="71"/>
      <c r="C43" s="71"/>
      <c r="D43" s="71"/>
      <c r="E43" s="102" t="s">
        <v>775</v>
      </c>
      <c r="F43" s="103">
        <f t="shared" si="2"/>
        <v>2.8926668358284702</v>
      </c>
      <c r="G43" s="106">
        <f t="shared" si="3"/>
        <v>2.8926668358284702</v>
      </c>
      <c r="H43" s="71"/>
      <c r="I43">
        <v>11.4</v>
      </c>
      <c r="J43" s="3">
        <f t="shared" si="4"/>
        <v>2.3651452282157677</v>
      </c>
      <c r="L43">
        <v>0.3</v>
      </c>
      <c r="M43" s="46">
        <f t="shared" si="1"/>
        <v>0.15186500888099466</v>
      </c>
      <c r="N43" s="52">
        <v>0</v>
      </c>
      <c r="O43" s="52" t="s">
        <v>1170</v>
      </c>
      <c r="P43" s="52"/>
      <c r="Q43" s="52" t="s">
        <v>1173</v>
      </c>
      <c r="R43" s="52"/>
      <c r="S43" s="52"/>
      <c r="T43" s="52"/>
      <c r="U43" s="52"/>
      <c r="V43" s="52"/>
      <c r="W43" s="52"/>
      <c r="X43" s="52"/>
      <c r="Y43" s="52"/>
      <c r="Z43" s="52"/>
    </row>
    <row r="44" spans="1:26" x14ac:dyDescent="0.25">
      <c r="A44" s="71">
        <f t="shared" si="0"/>
        <v>1484.3948236488202</v>
      </c>
      <c r="B44" s="71"/>
      <c r="C44" s="71"/>
      <c r="D44" s="71"/>
      <c r="E44" s="88" t="s">
        <v>772</v>
      </c>
      <c r="F44" s="103">
        <f t="shared" si="2"/>
        <v>5.937579294595281</v>
      </c>
      <c r="G44" s="106">
        <f t="shared" si="3"/>
        <v>5.937579294595281</v>
      </c>
      <c r="H44" s="71"/>
      <c r="I44">
        <v>23.4</v>
      </c>
      <c r="J44" s="3">
        <f t="shared" si="4"/>
        <v>4.8547717842323648</v>
      </c>
      <c r="L44">
        <v>0.3</v>
      </c>
      <c r="M44" s="46">
        <f t="shared" si="1"/>
        <v>0.31172291296625221</v>
      </c>
    </row>
    <row r="45" spans="1:26" x14ac:dyDescent="0.25">
      <c r="A45" s="71">
        <f t="shared" si="0"/>
        <v>799.28952042628782</v>
      </c>
      <c r="B45" s="71"/>
      <c r="C45" s="71"/>
      <c r="D45" s="71"/>
      <c r="E45" s="102" t="s">
        <v>774</v>
      </c>
      <c r="F45" s="103">
        <f t="shared" si="2"/>
        <v>3.197158081705151</v>
      </c>
      <c r="G45" s="106">
        <f t="shared" si="3"/>
        <v>3.197158081705151</v>
      </c>
      <c r="H45" s="71"/>
      <c r="I45">
        <v>12.6</v>
      </c>
      <c r="J45" s="3">
        <f t="shared" si="4"/>
        <v>2.6141078838174274</v>
      </c>
      <c r="L45">
        <v>0.26</v>
      </c>
      <c r="M45" s="46">
        <f t="shared" si="1"/>
        <v>0.14547069271758437</v>
      </c>
    </row>
    <row r="46" spans="1:26" x14ac:dyDescent="0.25">
      <c r="A46" s="71">
        <f t="shared" si="0"/>
        <v>190.3070286729257</v>
      </c>
      <c r="B46" s="71"/>
      <c r="C46" s="71"/>
      <c r="D46" s="71"/>
      <c r="E46" s="102" t="s">
        <v>1148</v>
      </c>
      <c r="F46" s="103">
        <f t="shared" si="2"/>
        <v>0.76122811469170271</v>
      </c>
      <c r="G46" s="106">
        <f t="shared" si="3"/>
        <v>0.76122811469170271</v>
      </c>
      <c r="H46" s="71"/>
      <c r="I46">
        <v>3</v>
      </c>
      <c r="J46" s="3">
        <f t="shared" si="4"/>
        <v>0.62240663900414939</v>
      </c>
      <c r="L46">
        <v>0.25</v>
      </c>
      <c r="M46" s="46">
        <f t="shared" si="1"/>
        <v>3.3303730017761997E-2</v>
      </c>
    </row>
    <row r="47" spans="1:26" x14ac:dyDescent="0.25">
      <c r="A47" s="71">
        <f t="shared" si="0"/>
        <v>3913.9812230398375</v>
      </c>
      <c r="B47" s="71"/>
      <c r="C47" s="71"/>
      <c r="D47" s="71"/>
      <c r="E47" s="102" t="s">
        <v>778</v>
      </c>
      <c r="F47" s="103">
        <f t="shared" si="2"/>
        <v>15.655924892159351</v>
      </c>
      <c r="G47" s="106">
        <f t="shared" si="3"/>
        <v>15.655924892159351</v>
      </c>
      <c r="H47" s="71"/>
      <c r="I47">
        <v>61.7</v>
      </c>
      <c r="J47" s="3">
        <f t="shared" si="4"/>
        <v>12.800829875518673</v>
      </c>
      <c r="L47">
        <v>0.21</v>
      </c>
      <c r="M47" s="46">
        <f t="shared" si="1"/>
        <v>0.5753552397868561</v>
      </c>
    </row>
    <row r="48" spans="1:26" x14ac:dyDescent="0.25">
      <c r="A48" s="71">
        <f t="shared" si="0"/>
        <v>1903.0702867292566</v>
      </c>
      <c r="B48" s="71"/>
      <c r="C48" s="71"/>
      <c r="D48" s="71"/>
      <c r="E48" s="102" t="s">
        <v>781</v>
      </c>
      <c r="F48" s="103">
        <f t="shared" si="2"/>
        <v>7.6122811469170264</v>
      </c>
      <c r="G48" s="106">
        <f t="shared" si="3"/>
        <v>7.6122811469170264</v>
      </c>
      <c r="H48" s="71"/>
      <c r="I48">
        <v>30</v>
      </c>
      <c r="J48" s="3">
        <f t="shared" si="4"/>
        <v>6.2240663900414939</v>
      </c>
      <c r="L48">
        <v>0.2</v>
      </c>
      <c r="M48" s="46">
        <f t="shared" si="1"/>
        <v>0.26642984014209597</v>
      </c>
      <c r="N48" s="47">
        <f>SUM(M36+M38+M39+M40+M41+M42+M43+M44+M45+M46+M54+M35)</f>
        <v>3.1941385435168743</v>
      </c>
      <c r="O48" t="s">
        <v>782</v>
      </c>
    </row>
    <row r="49" spans="1:24" x14ac:dyDescent="0.25">
      <c r="A49" s="71">
        <f t="shared" si="0"/>
        <v>444.0497335701599</v>
      </c>
      <c r="B49" s="71"/>
      <c r="C49" s="71"/>
      <c r="D49" s="71"/>
      <c r="E49" s="88" t="s">
        <v>780</v>
      </c>
      <c r="F49" s="103">
        <f t="shared" si="2"/>
        <v>1.7761989342806397</v>
      </c>
      <c r="G49" s="106">
        <f t="shared" si="3"/>
        <v>1.7761989342806397</v>
      </c>
      <c r="H49" s="71"/>
      <c r="I49">
        <v>7</v>
      </c>
      <c r="J49" s="3">
        <f t="shared" si="4"/>
        <v>1.4522821576763485</v>
      </c>
      <c r="L49">
        <v>0.17</v>
      </c>
      <c r="M49" s="46">
        <f t="shared" si="1"/>
        <v>5.2841918294849029E-2</v>
      </c>
    </row>
    <row r="50" spans="1:24" x14ac:dyDescent="0.25">
      <c r="A50" s="71">
        <f t="shared" si="0"/>
        <v>6280.1319462065467</v>
      </c>
      <c r="B50" s="71"/>
      <c r="C50" s="71"/>
      <c r="D50" s="71"/>
      <c r="E50" s="102" t="s">
        <v>1149</v>
      </c>
      <c r="F50" s="103">
        <f t="shared" si="2"/>
        <v>25.120527784826187</v>
      </c>
      <c r="G50" s="106">
        <f t="shared" si="3"/>
        <v>25.120527784826187</v>
      </c>
      <c r="H50" s="71"/>
      <c r="I50">
        <v>99</v>
      </c>
      <c r="J50" s="3">
        <f t="shared" si="4"/>
        <v>20.539419087136931</v>
      </c>
      <c r="L50">
        <v>0.16</v>
      </c>
      <c r="M50" s="46">
        <f t="shared" si="1"/>
        <v>0.70337477797513315</v>
      </c>
    </row>
    <row r="51" spans="1:24" x14ac:dyDescent="0.25">
      <c r="A51" s="71">
        <f t="shared" si="0"/>
        <v>329.86551636640451</v>
      </c>
      <c r="B51" s="71"/>
      <c r="C51" s="71"/>
      <c r="D51" s="71"/>
      <c r="E51" s="102" t="s">
        <v>1150</v>
      </c>
      <c r="F51" s="103">
        <f t="shared" si="2"/>
        <v>1.319462065465618</v>
      </c>
      <c r="G51" s="106">
        <f t="shared" si="3"/>
        <v>1.319462065465618</v>
      </c>
      <c r="H51" s="71"/>
      <c r="I51">
        <v>5.2</v>
      </c>
      <c r="J51" s="3">
        <f t="shared" si="4"/>
        <v>1.0788381742738589</v>
      </c>
      <c r="L51">
        <v>0.1</v>
      </c>
      <c r="M51" s="46">
        <f t="shared" si="1"/>
        <v>2.3090586145648313E-2</v>
      </c>
    </row>
    <row r="52" spans="1:24" x14ac:dyDescent="0.25">
      <c r="A52" s="71">
        <f t="shared" si="0"/>
        <v>63.435676224308551</v>
      </c>
      <c r="B52" s="71"/>
      <c r="C52" s="71"/>
      <c r="D52" s="71"/>
      <c r="E52" s="110" t="s">
        <v>1152</v>
      </c>
      <c r="F52" s="103">
        <f t="shared" si="2"/>
        <v>0.25374270489723422</v>
      </c>
      <c r="G52" s="106">
        <f t="shared" si="3"/>
        <v>0.25374270489723422</v>
      </c>
      <c r="I52">
        <v>1</v>
      </c>
      <c r="J52" s="3">
        <f t="shared" si="4"/>
        <v>0.2074688796680498</v>
      </c>
      <c r="L52">
        <v>0.05</v>
      </c>
      <c r="M52" s="46">
        <f t="shared" si="1"/>
        <v>2.2202486678507992E-3</v>
      </c>
    </row>
    <row r="53" spans="1:24" x14ac:dyDescent="0.25">
      <c r="A53" s="71">
        <f t="shared" si="0"/>
        <v>596.29535650850039</v>
      </c>
      <c r="B53" s="71"/>
      <c r="C53" s="71"/>
      <c r="D53" s="71"/>
      <c r="E53" s="88" t="s">
        <v>779</v>
      </c>
      <c r="F53" s="103">
        <f t="shared" si="2"/>
        <v>2.3851814260340016</v>
      </c>
      <c r="G53" s="106">
        <f t="shared" si="3"/>
        <v>2.3851814260340016</v>
      </c>
      <c r="H53" s="71"/>
      <c r="I53" s="3">
        <v>9.4</v>
      </c>
      <c r="J53" s="3">
        <f t="shared" si="4"/>
        <v>1.950207468879668</v>
      </c>
      <c r="L53">
        <v>0.01</v>
      </c>
      <c r="M53" s="46">
        <f t="shared" si="1"/>
        <v>4.1740674955595023E-3</v>
      </c>
    </row>
    <row r="54" spans="1:24" x14ac:dyDescent="0.25">
      <c r="A54" s="71">
        <f t="shared" si="0"/>
        <v>190.3070286729257</v>
      </c>
      <c r="B54" s="71"/>
      <c r="C54" s="71"/>
      <c r="D54" s="71"/>
      <c r="E54" s="2" t="s">
        <v>1151</v>
      </c>
      <c r="F54" s="103">
        <f t="shared" si="2"/>
        <v>0.76122811469170271</v>
      </c>
      <c r="G54" s="106">
        <f t="shared" si="3"/>
        <v>0.76122811469170271</v>
      </c>
      <c r="I54">
        <v>3</v>
      </c>
      <c r="J54" s="3">
        <f t="shared" si="4"/>
        <v>0.62240663900414939</v>
      </c>
      <c r="L54">
        <v>0</v>
      </c>
      <c r="M54" s="46">
        <f t="shared" si="1"/>
        <v>0</v>
      </c>
    </row>
    <row r="55" spans="1:24" x14ac:dyDescent="0.25">
      <c r="A55" s="71">
        <f t="shared" si="0"/>
        <v>0</v>
      </c>
      <c r="B55" s="71"/>
      <c r="C55" s="71"/>
      <c r="D55" s="71"/>
    </row>
    <row r="56" spans="1:24" x14ac:dyDescent="0.25">
      <c r="A56" s="71">
        <f t="shared" si="0"/>
        <v>25000</v>
      </c>
      <c r="B56" s="71"/>
      <c r="C56" s="71"/>
      <c r="D56" s="71"/>
      <c r="E56" s="102" t="s">
        <v>53</v>
      </c>
      <c r="F56" s="105">
        <f>SUM(F35:F55)</f>
        <v>100</v>
      </c>
      <c r="G56" s="106">
        <f>SUM(G35:G55)</f>
        <v>100</v>
      </c>
      <c r="H56" s="71"/>
      <c r="I56" s="4">
        <f>SUM(I35:I55)</f>
        <v>394.09999999999997</v>
      </c>
      <c r="J56" s="46">
        <f>SUM(J36:J54)</f>
        <v>77.987551867219921</v>
      </c>
    </row>
    <row r="57" spans="1:24" x14ac:dyDescent="0.25">
      <c r="A57" s="71"/>
      <c r="B57" s="71"/>
      <c r="C57" s="71"/>
      <c r="D57" s="71"/>
      <c r="E57" s="88"/>
      <c r="F57" s="104"/>
      <c r="G57" s="106"/>
      <c r="H57" s="71"/>
      <c r="I57">
        <f>563*0.7</f>
        <v>394.09999999999997</v>
      </c>
      <c r="T57" s="10" t="s">
        <v>1003</v>
      </c>
      <c r="W57" t="s">
        <v>184</v>
      </c>
      <c r="X57" t="s">
        <v>1020</v>
      </c>
    </row>
    <row r="58" spans="1:24" x14ac:dyDescent="0.25">
      <c r="A58" s="71"/>
      <c r="B58" s="71"/>
      <c r="C58" s="71"/>
      <c r="D58" s="71"/>
      <c r="N58" s="47">
        <f>SUM(M53+M52+M51+M50+M49+M48+M47+M37)</f>
        <v>3.0662078152753112</v>
      </c>
    </row>
    <row r="59" spans="1:24" x14ac:dyDescent="0.25">
      <c r="A59" s="71"/>
      <c r="B59" s="71"/>
      <c r="C59" s="71"/>
      <c r="D59" s="71"/>
      <c r="E59" s="71"/>
      <c r="F59" s="71"/>
      <c r="G59" s="71"/>
      <c r="H59" s="71"/>
      <c r="N59" t="s">
        <v>783</v>
      </c>
      <c r="T59" t="s">
        <v>1004</v>
      </c>
      <c r="X59" t="s">
        <v>112</v>
      </c>
    </row>
    <row r="60" spans="1:24" x14ac:dyDescent="0.25">
      <c r="A60" s="71"/>
      <c r="B60" s="72" t="s">
        <v>1093</v>
      </c>
      <c r="C60" s="72"/>
      <c r="D60" s="71"/>
      <c r="E60" s="71"/>
      <c r="F60" s="71"/>
      <c r="G60" s="71"/>
      <c r="H60" s="71"/>
      <c r="N60" s="3">
        <f>SUM(N48:N58)</f>
        <v>6.2603463587921855</v>
      </c>
      <c r="T60" s="5" t="s">
        <v>1002</v>
      </c>
      <c r="W60">
        <v>0.95</v>
      </c>
    </row>
    <row r="61" spans="1:24" x14ac:dyDescent="0.25">
      <c r="A61" s="71"/>
      <c r="B61" s="72" t="s">
        <v>1156</v>
      </c>
      <c r="C61" s="72"/>
      <c r="D61" s="71"/>
      <c r="E61" s="71"/>
      <c r="F61" s="71"/>
      <c r="G61" s="71"/>
      <c r="H61" s="71"/>
      <c r="N61" s="33">
        <f>GOODSTOT*0.8+SERVTOT*0.4</f>
        <v>3.7817939609236242</v>
      </c>
      <c r="O61" s="3">
        <f>SUM(N60:N61)</f>
        <v>10.042140319715809</v>
      </c>
      <c r="T61" s="5" t="s">
        <v>992</v>
      </c>
      <c r="W61">
        <v>0.99</v>
      </c>
    </row>
    <row r="62" spans="1:24" x14ac:dyDescent="0.25">
      <c r="A62" s="71"/>
      <c r="B62" s="71"/>
      <c r="C62" s="72"/>
      <c r="D62" s="71"/>
      <c r="E62" s="71"/>
      <c r="F62" s="71"/>
      <c r="G62" s="71"/>
      <c r="H62" s="71"/>
      <c r="N62" t="s">
        <v>1086</v>
      </c>
      <c r="T62" s="5" t="s">
        <v>423</v>
      </c>
      <c r="W62">
        <v>1.02</v>
      </c>
    </row>
    <row r="63" spans="1:24" x14ac:dyDescent="0.25">
      <c r="A63" s="71"/>
      <c r="B63" s="71" t="s">
        <v>994</v>
      </c>
      <c r="C63" s="72"/>
      <c r="D63" s="71"/>
      <c r="E63" s="71"/>
      <c r="F63" s="71"/>
      <c r="G63" s="71"/>
      <c r="H63" s="71"/>
      <c r="T63" s="5"/>
    </row>
    <row r="64" spans="1:24" x14ac:dyDescent="0.25">
      <c r="A64" s="71" t="s">
        <v>1012</v>
      </c>
      <c r="B64" s="76" t="s">
        <v>992</v>
      </c>
      <c r="C64" s="71"/>
      <c r="D64" s="71"/>
      <c r="E64" s="71"/>
      <c r="F64" s="71"/>
      <c r="G64" s="71"/>
      <c r="H64" s="71"/>
    </row>
    <row r="65" spans="1:25" x14ac:dyDescent="0.25">
      <c r="A65" s="71" t="s">
        <v>1013</v>
      </c>
      <c r="B65" s="85">
        <f>IF(RECYC2="Everything possible",0.95,IF(RECYC2="Some",0.99,IF(RECYC2="None",1.02)))</f>
        <v>0.99</v>
      </c>
      <c r="C65" s="71"/>
      <c r="D65" s="71"/>
      <c r="E65" s="71"/>
      <c r="F65" s="71"/>
      <c r="G65" s="71"/>
      <c r="H65" s="71"/>
      <c r="I65" s="74" t="s">
        <v>1012</v>
      </c>
      <c r="K65" s="3">
        <f>O61/AVHH</f>
        <v>4.3661479650938304</v>
      </c>
      <c r="L65" t="s">
        <v>1022</v>
      </c>
      <c r="T65" s="51" t="s">
        <v>1005</v>
      </c>
      <c r="X65" t="s">
        <v>112</v>
      </c>
      <c r="Y65" t="s">
        <v>642</v>
      </c>
    </row>
    <row r="66" spans="1:25" x14ac:dyDescent="0.25">
      <c r="A66" s="71"/>
      <c r="B66" s="71"/>
      <c r="C66" s="71"/>
      <c r="D66" s="71"/>
      <c r="E66" s="71"/>
      <c r="F66" s="71"/>
      <c r="G66" s="71"/>
      <c r="H66" s="71"/>
      <c r="I66" s="74" t="s">
        <v>1013</v>
      </c>
      <c r="T66" s="5" t="s">
        <v>995</v>
      </c>
      <c r="W66">
        <v>0.9</v>
      </c>
    </row>
    <row r="67" spans="1:25" x14ac:dyDescent="0.25">
      <c r="A67" s="71"/>
      <c r="B67" s="71" t="s">
        <v>1009</v>
      </c>
      <c r="C67" s="71"/>
      <c r="D67" s="71"/>
      <c r="E67" s="71"/>
      <c r="F67" s="71"/>
      <c r="G67" s="71"/>
      <c r="H67" s="71"/>
      <c r="I67" s="74"/>
      <c r="T67" s="5" t="s">
        <v>996</v>
      </c>
      <c r="W67">
        <v>1.05</v>
      </c>
    </row>
    <row r="68" spans="1:25" x14ac:dyDescent="0.25">
      <c r="A68" s="71" t="s">
        <v>1014</v>
      </c>
      <c r="B68" s="76" t="s">
        <v>1006</v>
      </c>
      <c r="C68" s="71"/>
      <c r="D68" s="71"/>
      <c r="E68" s="71"/>
      <c r="F68" s="71"/>
      <c r="G68" s="71"/>
      <c r="H68" s="71"/>
      <c r="I68" s="74" t="s">
        <v>1014</v>
      </c>
      <c r="L68" s="52" t="s">
        <v>1174</v>
      </c>
      <c r="M68" s="52"/>
      <c r="N68" s="52"/>
      <c r="O68" s="52"/>
      <c r="P68" s="52"/>
      <c r="T68" s="5" t="s">
        <v>1006</v>
      </c>
      <c r="W68">
        <v>1</v>
      </c>
    </row>
    <row r="69" spans="1:25" x14ac:dyDescent="0.25">
      <c r="A69" s="71" t="s">
        <v>1015</v>
      </c>
      <c r="B69" s="75">
        <f>IF(QUAL2="Expensive top quality",0.9,IF(QUAL2="Cheap as possible",1.05,IF(QUAL2="Bit of both",1)))</f>
        <v>1</v>
      </c>
      <c r="C69" s="71"/>
      <c r="D69" s="71"/>
      <c r="E69" s="71"/>
      <c r="F69" s="71"/>
      <c r="G69" s="71"/>
      <c r="H69" s="71"/>
      <c r="I69" s="74" t="s">
        <v>1015</v>
      </c>
      <c r="L69" s="52" t="s">
        <v>714</v>
      </c>
      <c r="M69" s="52" t="s">
        <v>1177</v>
      </c>
      <c r="N69" s="52"/>
      <c r="O69" s="52" t="s">
        <v>1178</v>
      </c>
      <c r="P69" s="52"/>
    </row>
    <row r="70" spans="1:25" x14ac:dyDescent="0.25">
      <c r="A70" s="71"/>
      <c r="B70" s="71"/>
      <c r="C70" s="71"/>
      <c r="D70" s="71"/>
      <c r="E70" s="71"/>
      <c r="F70" s="71"/>
      <c r="G70" s="71"/>
      <c r="H70" s="71"/>
      <c r="I70" s="74"/>
      <c r="L70" s="52">
        <v>0.95</v>
      </c>
      <c r="M70" s="52">
        <v>0.99</v>
      </c>
      <c r="N70" s="52"/>
      <c r="O70" s="52">
        <v>1.02</v>
      </c>
      <c r="P70" s="52"/>
      <c r="T70" s="51" t="s">
        <v>1007</v>
      </c>
      <c r="X70" t="s">
        <v>112</v>
      </c>
      <c r="Y70" t="s">
        <v>642</v>
      </c>
    </row>
    <row r="71" spans="1:25" x14ac:dyDescent="0.25">
      <c r="A71" s="71"/>
      <c r="B71" s="71" t="s">
        <v>1010</v>
      </c>
      <c r="C71" s="71"/>
      <c r="D71" s="71"/>
      <c r="E71" s="71"/>
      <c r="F71" s="71"/>
      <c r="G71" s="71"/>
      <c r="H71" s="71"/>
      <c r="I71" s="74"/>
      <c r="L71" s="52" t="s">
        <v>1175</v>
      </c>
      <c r="M71" s="52"/>
      <c r="N71" s="52"/>
      <c r="O71" s="52"/>
      <c r="P71" s="52"/>
      <c r="T71" s="5" t="s">
        <v>997</v>
      </c>
      <c r="W71">
        <v>0.98</v>
      </c>
    </row>
    <row r="72" spans="1:25" x14ac:dyDescent="0.25">
      <c r="A72" s="71" t="s">
        <v>1016</v>
      </c>
      <c r="B72" s="76" t="s">
        <v>998</v>
      </c>
      <c r="C72" s="71"/>
      <c r="D72" s="71"/>
      <c r="E72" s="71"/>
      <c r="F72" s="71"/>
      <c r="G72" s="71"/>
      <c r="H72" s="71"/>
      <c r="I72" s="74" t="s">
        <v>1016</v>
      </c>
      <c r="L72" s="52" t="s">
        <v>1181</v>
      </c>
      <c r="M72" s="52" t="s">
        <v>1177</v>
      </c>
      <c r="N72" s="52"/>
      <c r="O72" s="52" t="s">
        <v>1182</v>
      </c>
      <c r="P72" s="52"/>
      <c r="T72" s="5" t="s">
        <v>998</v>
      </c>
      <c r="W72">
        <v>1</v>
      </c>
    </row>
    <row r="73" spans="1:25" x14ac:dyDescent="0.25">
      <c r="A73" s="71" t="s">
        <v>1017</v>
      </c>
      <c r="B73" s="75">
        <f>IF(CRED2="Never buy on credit",0.98,IF(CRED2="Sometimes buy on credit",1,IF(CRED2="Maxed out",1.03)))</f>
        <v>1</v>
      </c>
      <c r="C73" s="71"/>
      <c r="D73" s="71"/>
      <c r="E73" s="71"/>
      <c r="F73" s="71"/>
      <c r="G73" s="71"/>
      <c r="H73" s="71"/>
      <c r="I73" s="74" t="s">
        <v>1017</v>
      </c>
      <c r="L73" s="52">
        <v>0.9</v>
      </c>
      <c r="M73" s="52">
        <v>1</v>
      </c>
      <c r="N73" s="52"/>
      <c r="O73" s="52">
        <v>1.05</v>
      </c>
      <c r="P73" s="52"/>
      <c r="T73" s="5" t="s">
        <v>999</v>
      </c>
      <c r="W73">
        <v>1.02</v>
      </c>
    </row>
    <row r="74" spans="1:25" x14ac:dyDescent="0.25">
      <c r="A74" s="71"/>
      <c r="B74" s="71"/>
      <c r="C74" s="71"/>
      <c r="D74" s="71"/>
      <c r="E74" s="71"/>
      <c r="F74" s="71"/>
      <c r="G74" s="71"/>
      <c r="H74" s="71"/>
      <c r="I74" s="74"/>
      <c r="L74" s="52" t="s">
        <v>1176</v>
      </c>
      <c r="M74" s="52"/>
      <c r="N74" s="52"/>
      <c r="O74" s="52"/>
      <c r="P74" s="52"/>
    </row>
    <row r="75" spans="1:25" x14ac:dyDescent="0.25">
      <c r="A75" s="71"/>
      <c r="B75" s="71" t="s">
        <v>1011</v>
      </c>
      <c r="C75" s="71"/>
      <c r="D75" s="71"/>
      <c r="E75" s="71"/>
      <c r="F75" s="71"/>
      <c r="G75" s="71"/>
      <c r="H75" s="71"/>
      <c r="I75" s="74"/>
      <c r="L75" s="52" t="s">
        <v>1179</v>
      </c>
      <c r="M75" s="52"/>
      <c r="N75" s="52"/>
      <c r="O75" s="52" t="s">
        <v>1180</v>
      </c>
      <c r="P75" s="52" t="s">
        <v>423</v>
      </c>
      <c r="T75" t="s">
        <v>1008</v>
      </c>
      <c r="X75" t="s">
        <v>641</v>
      </c>
    </row>
    <row r="76" spans="1:25" x14ac:dyDescent="0.25">
      <c r="A76" s="71" t="s">
        <v>1018</v>
      </c>
      <c r="B76" s="76" t="s">
        <v>1021</v>
      </c>
      <c r="C76" s="71"/>
      <c r="D76" s="71"/>
      <c r="E76" s="71"/>
      <c r="F76" s="71"/>
      <c r="G76" s="71"/>
      <c r="H76" s="71"/>
      <c r="I76" s="74" t="s">
        <v>1018</v>
      </c>
      <c r="L76" s="52">
        <v>0.95</v>
      </c>
      <c r="M76" s="52"/>
      <c r="N76" s="52"/>
      <c r="O76" s="52">
        <v>1</v>
      </c>
      <c r="P76" s="52">
        <v>1.02</v>
      </c>
      <c r="T76" s="5" t="s">
        <v>1000</v>
      </c>
      <c r="W76">
        <v>0.8</v>
      </c>
    </row>
    <row r="77" spans="1:25" x14ac:dyDescent="0.25">
      <c r="A77" s="71" t="s">
        <v>1019</v>
      </c>
      <c r="B77" s="75">
        <f>IF(ETH_2="Always choose ethical brands and suppliers",0.8,IF(ETH_2="Sometimes choose ethical brands",1,IF(ETH_2="Don't care",1.05)))</f>
        <v>1</v>
      </c>
      <c r="C77" s="71"/>
      <c r="D77" s="71"/>
      <c r="E77" s="71"/>
      <c r="F77" s="71"/>
      <c r="G77" s="71"/>
      <c r="H77" s="71"/>
      <c r="I77" s="74" t="s">
        <v>1019</v>
      </c>
      <c r="T77" s="5" t="s">
        <v>1021</v>
      </c>
      <c r="W77">
        <v>1</v>
      </c>
    </row>
    <row r="78" spans="1:25" x14ac:dyDescent="0.25">
      <c r="A78" s="71"/>
      <c r="B78" s="71"/>
      <c r="C78" s="71"/>
      <c r="D78" s="71"/>
      <c r="E78" s="71"/>
      <c r="F78" s="71"/>
      <c r="G78" s="71"/>
      <c r="H78" s="71"/>
      <c r="T78" s="5" t="s">
        <v>1001</v>
      </c>
      <c r="W78">
        <v>1.05</v>
      </c>
    </row>
    <row r="80" spans="1:25" x14ac:dyDescent="0.25">
      <c r="C80">
        <f>0.8*0.98*0.9*0.95</f>
        <v>0.67032000000000003</v>
      </c>
    </row>
  </sheetData>
  <mergeCells count="37">
    <mergeCell ref="L18:M18"/>
    <mergeCell ref="R18:U18"/>
    <mergeCell ref="L19:M19"/>
    <mergeCell ref="R19:U19"/>
    <mergeCell ref="L15:M15"/>
    <mergeCell ref="R15:U15"/>
    <mergeCell ref="L16:M16"/>
    <mergeCell ref="R16:U16"/>
    <mergeCell ref="R9:U9"/>
    <mergeCell ref="L10:M10"/>
    <mergeCell ref="R10:U10"/>
    <mergeCell ref="B15:C15"/>
    <mergeCell ref="G15:J15"/>
    <mergeCell ref="L12:M12"/>
    <mergeCell ref="R12:U12"/>
    <mergeCell ref="L13:M13"/>
    <mergeCell ref="R13:U13"/>
    <mergeCell ref="L14:M14"/>
    <mergeCell ref="R14:U14"/>
    <mergeCell ref="K22:K27"/>
    <mergeCell ref="B7:C7"/>
    <mergeCell ref="G7:J7"/>
    <mergeCell ref="B8:C8"/>
    <mergeCell ref="G8:J8"/>
    <mergeCell ref="B17:C17"/>
    <mergeCell ref="G17:J17"/>
    <mergeCell ref="L4:M4"/>
    <mergeCell ref="G13:J13"/>
    <mergeCell ref="L5:M5"/>
    <mergeCell ref="G14:J14"/>
    <mergeCell ref="L6:M6"/>
    <mergeCell ref="L9:M9"/>
    <mergeCell ref="R6:U6"/>
    <mergeCell ref="L7:M7"/>
    <mergeCell ref="R7:U7"/>
    <mergeCell ref="L8:M8"/>
    <mergeCell ref="R8:U8"/>
  </mergeCells>
  <dataValidations count="4">
    <dataValidation type="list" allowBlank="1" showInputMessage="1" showErrorMessage="1" sqref="B64">
      <formula1>RECYC1</formula1>
    </dataValidation>
    <dataValidation type="list" allowBlank="1" showInputMessage="1" showErrorMessage="1" sqref="B68">
      <formula1>QUAL1</formula1>
    </dataValidation>
    <dataValidation type="list" allowBlank="1" showInputMessage="1" showErrorMessage="1" sqref="B72">
      <formula1>CRED1</formula1>
    </dataValidation>
    <dataValidation type="list" allowBlank="1" showInputMessage="1" showErrorMessage="1" sqref="B76">
      <formula1>ETH_1</formula1>
    </dataValidation>
  </dataValidation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9"/>
  <sheetViews>
    <sheetView zoomScaleNormal="100" workbookViewId="0"/>
  </sheetViews>
  <sheetFormatPr defaultRowHeight="15" x14ac:dyDescent="0.25"/>
  <cols>
    <col min="2" max="2" width="14.28515625" customWidth="1"/>
  </cols>
  <sheetData>
    <row r="1" spans="1:26" ht="21" x14ac:dyDescent="0.35">
      <c r="A1" s="61" t="s">
        <v>615</v>
      </c>
      <c r="B1" s="6"/>
      <c r="C1" s="6"/>
      <c r="D1" s="6"/>
      <c r="E1" s="6"/>
      <c r="F1" s="6"/>
      <c r="G1" s="6"/>
      <c r="H1" s="6"/>
      <c r="I1" s="6"/>
      <c r="J1" s="6"/>
      <c r="K1" s="6"/>
      <c r="L1" s="6"/>
      <c r="M1" s="6"/>
      <c r="N1" s="6"/>
      <c r="O1" s="6"/>
      <c r="P1" s="6"/>
      <c r="Q1" s="6"/>
      <c r="R1" s="6"/>
      <c r="S1" s="6"/>
      <c r="T1" s="6"/>
      <c r="U1" s="6"/>
      <c r="V1" s="6"/>
      <c r="W1" s="6"/>
      <c r="X1" s="6"/>
      <c r="Y1" s="6"/>
      <c r="Z1" s="6"/>
    </row>
    <row r="2" spans="1:26" ht="21" x14ac:dyDescent="0.35">
      <c r="A2" s="61"/>
      <c r="B2" s="6" t="s">
        <v>1037</v>
      </c>
      <c r="C2" s="6"/>
      <c r="D2" s="6"/>
      <c r="E2" s="6"/>
      <c r="F2" s="6"/>
      <c r="G2" s="6"/>
      <c r="H2" s="6"/>
      <c r="I2" s="6"/>
      <c r="J2" s="6"/>
      <c r="K2" s="6"/>
      <c r="L2" s="6"/>
      <c r="M2" s="6"/>
      <c r="N2" s="6"/>
      <c r="O2" s="6"/>
      <c r="P2" s="6"/>
      <c r="Q2" s="6"/>
      <c r="R2" s="6"/>
      <c r="S2" s="6"/>
      <c r="T2" s="6"/>
      <c r="U2" s="6"/>
      <c r="V2" s="6"/>
      <c r="W2" s="6"/>
      <c r="X2" s="6"/>
      <c r="Y2" s="6"/>
      <c r="Z2" s="6"/>
    </row>
    <row r="3" spans="1:26" ht="21" x14ac:dyDescent="0.35">
      <c r="A3" s="61"/>
      <c r="B3" s="6" t="s">
        <v>1038</v>
      </c>
      <c r="C3" s="6"/>
      <c r="D3" s="6"/>
      <c r="E3" s="6"/>
      <c r="F3" s="6"/>
      <c r="G3" s="6"/>
      <c r="H3" s="6"/>
      <c r="I3" s="6"/>
      <c r="J3" s="6"/>
      <c r="K3" s="6"/>
      <c r="L3" s="6"/>
      <c r="M3" s="6"/>
      <c r="N3" s="6"/>
      <c r="O3" s="6"/>
      <c r="P3" s="6"/>
      <c r="Q3" s="6"/>
      <c r="R3" s="6"/>
      <c r="S3" s="6"/>
      <c r="T3" s="6"/>
      <c r="U3" s="6"/>
      <c r="V3" s="6"/>
      <c r="W3" s="6"/>
      <c r="X3" s="6"/>
      <c r="Y3" s="6"/>
      <c r="Z3" s="6"/>
    </row>
    <row r="4" spans="1:26" ht="21" x14ac:dyDescent="0.35">
      <c r="A4" s="61"/>
      <c r="B4" s="6"/>
      <c r="C4" s="6"/>
      <c r="D4" s="6"/>
      <c r="E4" s="6"/>
      <c r="F4" s="6"/>
      <c r="G4" s="6"/>
      <c r="H4" s="6"/>
      <c r="I4" s="6"/>
      <c r="J4" s="6"/>
      <c r="K4" s="6"/>
      <c r="L4" s="6"/>
      <c r="M4" s="6"/>
      <c r="N4" s="6"/>
      <c r="O4" s="6"/>
      <c r="P4" s="6"/>
      <c r="Q4" s="6"/>
      <c r="R4" s="6"/>
      <c r="S4" s="6"/>
      <c r="T4" s="6"/>
      <c r="U4" s="6"/>
      <c r="V4" s="6"/>
      <c r="W4" s="6"/>
      <c r="X4" s="6"/>
      <c r="Y4" s="6"/>
      <c r="Z4" s="6"/>
    </row>
    <row r="5" spans="1:26" x14ac:dyDescent="0.25">
      <c r="A5" s="6"/>
      <c r="B5" s="6" t="s">
        <v>616</v>
      </c>
      <c r="C5" s="6"/>
      <c r="D5" s="6"/>
      <c r="E5" s="6"/>
      <c r="F5" s="6"/>
      <c r="G5" s="6"/>
      <c r="H5" s="6"/>
      <c r="I5" s="6"/>
      <c r="J5" s="6"/>
      <c r="K5" s="6" t="s">
        <v>1039</v>
      </c>
      <c r="L5" s="6"/>
      <c r="M5" s="6"/>
      <c r="N5" s="6"/>
      <c r="O5" s="6"/>
      <c r="P5" s="6" t="s">
        <v>1041</v>
      </c>
      <c r="Q5" s="6"/>
      <c r="R5" s="6"/>
      <c r="S5" s="6"/>
      <c r="T5" s="6"/>
      <c r="U5" s="6" t="s">
        <v>1044</v>
      </c>
      <c r="V5" s="6"/>
      <c r="W5" s="6"/>
      <c r="X5" s="6"/>
      <c r="Y5" s="6"/>
      <c r="Z5" s="6"/>
    </row>
    <row r="6" spans="1:26" x14ac:dyDescent="0.25">
      <c r="A6" s="6"/>
      <c r="B6" s="6" t="s">
        <v>1048</v>
      </c>
      <c r="C6" s="6"/>
      <c r="D6" s="6"/>
      <c r="E6" s="6"/>
      <c r="F6" s="6"/>
      <c r="G6" s="6"/>
      <c r="H6" s="6"/>
      <c r="I6" s="6"/>
      <c r="J6" s="6"/>
      <c r="K6" s="6" t="s">
        <v>1040</v>
      </c>
      <c r="L6" s="6"/>
      <c r="M6" s="6"/>
      <c r="N6" s="6"/>
      <c r="O6" s="6"/>
      <c r="P6" s="6" t="s">
        <v>1042</v>
      </c>
      <c r="Q6" s="6"/>
      <c r="R6" s="6"/>
      <c r="S6" s="6"/>
      <c r="T6" s="6"/>
      <c r="U6" s="6"/>
      <c r="V6" s="6"/>
      <c r="W6" s="6"/>
      <c r="X6" s="6"/>
      <c r="Y6" s="6"/>
      <c r="Z6" s="6"/>
    </row>
    <row r="7" spans="1:26" x14ac:dyDescent="0.25">
      <c r="A7" s="6"/>
      <c r="B7" s="6"/>
      <c r="C7" s="6"/>
      <c r="D7" s="6" t="s">
        <v>618</v>
      </c>
      <c r="E7" s="6" t="s">
        <v>619</v>
      </c>
      <c r="F7" s="6"/>
      <c r="G7" s="6"/>
      <c r="H7" s="6"/>
      <c r="I7" s="6"/>
      <c r="J7" s="6"/>
      <c r="K7" s="6"/>
      <c r="L7" s="6"/>
      <c r="M7" s="6"/>
      <c r="N7" s="6"/>
      <c r="O7" s="6"/>
      <c r="P7" s="6" t="s">
        <v>1043</v>
      </c>
      <c r="Q7" s="6"/>
      <c r="R7" s="6"/>
      <c r="S7" s="6"/>
      <c r="T7" s="6"/>
      <c r="U7" s="6"/>
      <c r="V7" s="6"/>
      <c r="W7" s="6"/>
      <c r="X7" s="6"/>
      <c r="Y7" s="6"/>
      <c r="Z7" s="6"/>
    </row>
    <row r="8" spans="1:26" x14ac:dyDescent="0.25">
      <c r="A8" s="6"/>
      <c r="B8" s="6" t="s">
        <v>617</v>
      </c>
      <c r="C8" s="6"/>
      <c r="D8" s="6">
        <v>1500</v>
      </c>
      <c r="E8" s="6" t="s">
        <v>620</v>
      </c>
      <c r="F8" s="6"/>
      <c r="G8" s="6"/>
      <c r="H8" s="6"/>
      <c r="I8" s="6"/>
      <c r="J8" s="6"/>
      <c r="K8" s="6"/>
      <c r="L8" s="6"/>
      <c r="M8" s="6"/>
      <c r="N8" s="6"/>
      <c r="O8" s="6"/>
      <c r="P8" s="6"/>
      <c r="Q8" s="6"/>
      <c r="R8" s="6"/>
      <c r="S8" s="6"/>
      <c r="T8" s="6"/>
      <c r="U8" s="6"/>
      <c r="V8" s="6"/>
      <c r="W8" s="6"/>
      <c r="X8" s="6"/>
      <c r="Y8" s="6"/>
      <c r="Z8" s="6"/>
    </row>
    <row r="9" spans="1:26" x14ac:dyDescent="0.25">
      <c r="A9" s="6"/>
      <c r="B9" s="6" t="s">
        <v>621</v>
      </c>
      <c r="C9" s="6"/>
      <c r="D9" s="6">
        <v>1000</v>
      </c>
      <c r="E9" s="6" t="s">
        <v>622</v>
      </c>
      <c r="F9" s="6"/>
      <c r="G9" s="6"/>
      <c r="H9" s="6"/>
      <c r="I9" s="6"/>
      <c r="J9" s="6"/>
      <c r="K9" s="6"/>
      <c r="L9" s="6"/>
      <c r="M9" s="6"/>
      <c r="N9" s="6"/>
      <c r="O9" s="6"/>
      <c r="P9" s="6"/>
      <c r="Q9" s="6"/>
      <c r="R9" s="6"/>
      <c r="S9" s="6"/>
      <c r="T9" s="6"/>
      <c r="U9" s="6"/>
      <c r="V9" s="6"/>
      <c r="W9" s="6"/>
      <c r="X9" s="6"/>
      <c r="Y9" s="6"/>
      <c r="Z9" s="6"/>
    </row>
    <row r="10" spans="1:26" x14ac:dyDescent="0.25">
      <c r="A10" s="6"/>
      <c r="B10" s="6" t="s">
        <v>623</v>
      </c>
      <c r="C10" s="6"/>
      <c r="D10" s="6">
        <v>63</v>
      </c>
      <c r="E10" s="6" t="s">
        <v>624</v>
      </c>
      <c r="F10" s="6"/>
      <c r="G10" s="6"/>
      <c r="H10" s="6"/>
      <c r="I10" s="6"/>
      <c r="J10" s="6"/>
      <c r="K10" s="6"/>
      <c r="L10" s="6"/>
      <c r="M10" s="6"/>
      <c r="N10" s="6"/>
      <c r="O10" s="6"/>
      <c r="P10" s="6"/>
      <c r="Q10" s="6"/>
      <c r="R10" s="6"/>
      <c r="S10" s="6"/>
      <c r="T10" s="6"/>
      <c r="U10" s="6"/>
      <c r="V10" s="6"/>
      <c r="W10" s="6"/>
      <c r="X10" s="6"/>
      <c r="Y10" s="6"/>
      <c r="Z10" s="6"/>
    </row>
    <row r="11" spans="1:26" x14ac:dyDescent="0.25">
      <c r="A11" s="6"/>
      <c r="B11" s="6" t="s">
        <v>625</v>
      </c>
      <c r="C11" s="6"/>
      <c r="D11" s="6">
        <v>2.2999999999999998</v>
      </c>
      <c r="E11" s="6"/>
      <c r="F11" s="6"/>
      <c r="G11" s="6"/>
      <c r="H11" s="6"/>
      <c r="I11" s="6"/>
      <c r="J11" s="6"/>
      <c r="K11" s="6"/>
      <c r="L11" s="6"/>
      <c r="M11" s="6"/>
      <c r="N11" s="6"/>
      <c r="O11" s="6"/>
      <c r="P11" s="6"/>
      <c r="Q11" s="6"/>
      <c r="R11" s="6"/>
      <c r="S11" s="6"/>
      <c r="T11" s="6"/>
      <c r="U11" s="6"/>
      <c r="V11" s="6"/>
      <c r="W11" s="6"/>
      <c r="X11" s="6"/>
      <c r="Y11" s="6"/>
      <c r="Z11" s="6"/>
    </row>
    <row r="12" spans="1:26" x14ac:dyDescent="0.25">
      <c r="A12" s="6"/>
      <c r="B12" s="6" t="s">
        <v>626</v>
      </c>
      <c r="C12" s="6"/>
      <c r="D12" s="6">
        <v>27.4</v>
      </c>
      <c r="E12" s="6"/>
      <c r="F12" s="6"/>
      <c r="G12" s="6"/>
      <c r="H12" s="6"/>
      <c r="I12" s="6"/>
      <c r="J12" s="6"/>
      <c r="K12" s="6"/>
      <c r="L12" s="6"/>
      <c r="M12" s="6"/>
      <c r="N12" s="6"/>
      <c r="O12" s="6"/>
      <c r="P12" s="6"/>
      <c r="Q12" s="6"/>
      <c r="R12" s="6"/>
      <c r="S12" s="6"/>
      <c r="T12" s="6"/>
      <c r="U12" s="6"/>
      <c r="V12" s="6"/>
      <c r="W12" s="6"/>
      <c r="X12" s="6"/>
      <c r="Y12" s="6"/>
      <c r="Z12" s="6"/>
    </row>
    <row r="13" spans="1:26" x14ac:dyDescent="0.25">
      <c r="A13" s="6"/>
      <c r="B13" s="6" t="s">
        <v>628</v>
      </c>
      <c r="C13" s="6"/>
      <c r="D13" s="6">
        <v>36.5</v>
      </c>
      <c r="E13" s="6" t="s">
        <v>627</v>
      </c>
      <c r="F13" s="6"/>
      <c r="G13" s="6"/>
      <c r="H13" s="6"/>
      <c r="I13" s="6"/>
      <c r="J13" s="6"/>
      <c r="K13" s="6"/>
      <c r="L13" s="6"/>
      <c r="M13" s="6"/>
      <c r="N13" s="6"/>
      <c r="O13" s="6"/>
      <c r="P13" s="6"/>
      <c r="Q13" s="6"/>
      <c r="R13" s="6"/>
      <c r="S13" s="6"/>
      <c r="T13" s="6"/>
      <c r="U13" s="6"/>
      <c r="V13" s="6"/>
      <c r="W13" s="6"/>
      <c r="X13" s="6"/>
      <c r="Y13" s="6"/>
      <c r="Z13" s="6"/>
    </row>
    <row r="14" spans="1:26" x14ac:dyDescent="0.25">
      <c r="A14" s="6"/>
      <c r="B14" s="6" t="s">
        <v>629</v>
      </c>
      <c r="C14" s="6"/>
      <c r="D14" s="6">
        <v>15.9</v>
      </c>
      <c r="E14" s="6"/>
      <c r="F14" s="6"/>
      <c r="G14" s="6"/>
      <c r="H14" s="6"/>
      <c r="I14" s="6"/>
      <c r="J14" s="6"/>
      <c r="K14" s="6"/>
      <c r="L14" s="6"/>
      <c r="M14" s="6"/>
      <c r="N14" s="6"/>
      <c r="O14" s="6"/>
      <c r="P14" s="6"/>
      <c r="Q14" s="6"/>
      <c r="R14" s="6"/>
      <c r="S14" s="6"/>
      <c r="T14" s="6"/>
      <c r="U14" s="6"/>
      <c r="V14" s="6"/>
      <c r="W14" s="6"/>
      <c r="X14" s="6"/>
      <c r="Y14" s="6"/>
      <c r="Z14" s="6"/>
    </row>
    <row r="15" spans="1:26" x14ac:dyDescent="0.25">
      <c r="A15" s="6"/>
      <c r="B15" s="6" t="s">
        <v>1032</v>
      </c>
      <c r="C15" s="6"/>
      <c r="D15" s="73">
        <v>24000</v>
      </c>
      <c r="E15" s="6" t="s">
        <v>1033</v>
      </c>
      <c r="F15" s="6"/>
      <c r="G15" s="6"/>
      <c r="H15" s="6"/>
      <c r="I15" s="6"/>
      <c r="J15" s="6"/>
      <c r="K15" s="6"/>
      <c r="L15" s="6"/>
      <c r="M15" s="6"/>
      <c r="N15" s="6"/>
      <c r="O15" s="6"/>
      <c r="P15" s="6"/>
      <c r="Q15" s="6"/>
      <c r="R15" s="6"/>
      <c r="S15" s="6"/>
      <c r="T15" s="6"/>
      <c r="U15" s="6"/>
      <c r="V15" s="6"/>
      <c r="W15" s="6"/>
      <c r="X15" s="6"/>
      <c r="Y15" s="6"/>
      <c r="Z15" s="6"/>
    </row>
    <row r="16" spans="1:26" x14ac:dyDescent="0.25">
      <c r="A16" s="6"/>
      <c r="B16" s="6"/>
      <c r="C16" s="6"/>
      <c r="D16" s="73"/>
      <c r="E16" s="6"/>
      <c r="F16" s="6"/>
      <c r="G16" s="6"/>
      <c r="H16" s="6"/>
      <c r="I16" s="6"/>
      <c r="J16" s="6"/>
      <c r="K16" s="6"/>
      <c r="L16" s="6"/>
      <c r="M16" s="6"/>
      <c r="N16" s="6"/>
      <c r="O16" s="6"/>
      <c r="P16" s="6"/>
      <c r="Q16" s="6"/>
      <c r="R16" s="6"/>
      <c r="S16" s="6"/>
      <c r="T16" s="6"/>
      <c r="U16" s="6"/>
      <c r="V16" s="6"/>
      <c r="W16" s="6"/>
      <c r="X16" s="6"/>
      <c r="Y16" s="6"/>
      <c r="Z16" s="6"/>
    </row>
    <row r="17" spans="1:26" x14ac:dyDescent="0.25">
      <c r="A17" s="6"/>
      <c r="B17" s="6"/>
      <c r="C17" s="6"/>
      <c r="D17" s="73"/>
      <c r="E17" s="6"/>
      <c r="F17" s="6"/>
      <c r="G17" s="6"/>
      <c r="H17" s="6"/>
      <c r="I17" s="6"/>
      <c r="J17" s="6"/>
      <c r="K17" s="6"/>
      <c r="L17" s="6"/>
      <c r="M17" s="6"/>
      <c r="N17" s="6"/>
      <c r="O17" s="6"/>
      <c r="P17" s="6"/>
      <c r="Q17" s="6"/>
      <c r="R17" s="6"/>
      <c r="S17" s="6"/>
      <c r="T17" s="6"/>
      <c r="U17" s="6"/>
      <c r="V17" s="6"/>
      <c r="W17" s="60"/>
      <c r="X17" s="60"/>
      <c r="Y17" s="6"/>
      <c r="Z17" s="6"/>
    </row>
    <row r="18" spans="1:26" x14ac:dyDescent="0.25">
      <c r="A18" s="6"/>
      <c r="B18" s="6"/>
      <c r="C18" s="6"/>
      <c r="D18" s="73"/>
      <c r="E18" s="6"/>
      <c r="F18" s="6"/>
      <c r="G18" s="6"/>
      <c r="H18" s="6"/>
      <c r="I18" s="6"/>
      <c r="J18" s="6"/>
      <c r="K18" s="6"/>
      <c r="L18" s="6"/>
      <c r="M18" s="6"/>
      <c r="N18" s="6"/>
      <c r="O18" s="6"/>
      <c r="P18" s="6"/>
      <c r="Q18" s="6"/>
      <c r="R18" s="6"/>
      <c r="S18" s="6"/>
      <c r="T18" s="6"/>
      <c r="U18" s="6"/>
      <c r="V18" s="6"/>
      <c r="W18" s="60"/>
      <c r="X18" s="60"/>
      <c r="Y18" s="6"/>
      <c r="Z18" s="6"/>
    </row>
    <row r="19" spans="1:26" x14ac:dyDescent="0.25">
      <c r="A19" s="6"/>
      <c r="B19" s="6" t="s">
        <v>1035</v>
      </c>
      <c r="C19" s="6"/>
      <c r="D19" s="6"/>
      <c r="E19" s="6"/>
      <c r="F19" s="6"/>
      <c r="G19" s="6"/>
      <c r="H19" s="6"/>
      <c r="I19" s="6"/>
      <c r="J19" s="6"/>
      <c r="K19" s="6"/>
      <c r="L19" s="6"/>
      <c r="M19" s="6"/>
      <c r="N19" s="6"/>
      <c r="O19" s="6"/>
      <c r="P19" s="6"/>
      <c r="Q19" s="6"/>
      <c r="R19" s="6"/>
      <c r="S19" s="6"/>
      <c r="T19" s="6"/>
      <c r="U19" s="6"/>
      <c r="V19" s="6"/>
      <c r="W19" s="60"/>
      <c r="X19" s="60"/>
      <c r="Y19" s="6"/>
      <c r="Z19" s="6"/>
    </row>
    <row r="20" spans="1:26" x14ac:dyDescent="0.25">
      <c r="A20" s="6"/>
      <c r="B20" s="6" t="s">
        <v>1036</v>
      </c>
      <c r="C20" s="6"/>
      <c r="D20" s="6"/>
      <c r="E20" s="6"/>
      <c r="F20" s="6"/>
      <c r="G20" s="6"/>
      <c r="H20" s="6"/>
      <c r="I20" s="6"/>
      <c r="J20" s="6"/>
      <c r="K20" s="6"/>
      <c r="L20" s="6"/>
      <c r="M20" s="6"/>
      <c r="N20" s="6"/>
      <c r="O20" s="6"/>
      <c r="P20" s="6"/>
      <c r="Q20" s="6"/>
      <c r="R20" s="6"/>
      <c r="S20" s="6"/>
      <c r="T20" s="6"/>
      <c r="U20" s="6"/>
      <c r="V20" s="6"/>
      <c r="W20" s="60"/>
      <c r="X20" s="60"/>
      <c r="Y20" s="6"/>
      <c r="Z20" s="6"/>
    </row>
    <row r="21" spans="1:26" x14ac:dyDescent="0.25">
      <c r="A21" s="6"/>
      <c r="B21" s="6" t="s">
        <v>646</v>
      </c>
      <c r="C21" s="6"/>
      <c r="D21" s="6"/>
      <c r="E21" s="6"/>
      <c r="F21" s="6"/>
      <c r="G21" s="6"/>
      <c r="H21" s="6"/>
      <c r="I21" s="6"/>
      <c r="J21" s="6"/>
      <c r="K21" s="6"/>
      <c r="L21" s="6"/>
      <c r="M21" s="6"/>
      <c r="N21" s="6"/>
      <c r="O21" s="6"/>
      <c r="P21" s="6"/>
      <c r="Q21" s="6"/>
      <c r="R21" s="6"/>
      <c r="S21" s="6"/>
      <c r="T21" s="6"/>
      <c r="U21" s="6"/>
      <c r="V21" s="6"/>
      <c r="W21" s="60"/>
      <c r="X21" s="60"/>
      <c r="Y21" s="6"/>
      <c r="Z21" s="6"/>
    </row>
    <row r="22" spans="1:26" x14ac:dyDescent="0.25">
      <c r="A22" s="6"/>
      <c r="B22" s="6"/>
      <c r="C22" s="6"/>
      <c r="D22" s="6"/>
      <c r="E22" s="6"/>
      <c r="F22" s="6"/>
      <c r="G22" s="6"/>
      <c r="H22" s="6"/>
      <c r="I22" s="6"/>
      <c r="J22" s="6"/>
      <c r="K22" s="6"/>
      <c r="L22" s="6"/>
      <c r="M22" s="6"/>
      <c r="N22" s="6"/>
      <c r="O22" s="6"/>
      <c r="P22" s="6"/>
      <c r="Q22" s="6"/>
      <c r="R22" s="6"/>
      <c r="S22" s="6"/>
      <c r="T22" s="6"/>
      <c r="U22" s="6"/>
      <c r="V22" s="6"/>
      <c r="W22" s="60"/>
      <c r="X22" s="60"/>
      <c r="Y22" s="6"/>
      <c r="Z22" s="6"/>
    </row>
    <row r="23" spans="1:26" x14ac:dyDescent="0.25">
      <c r="A23" s="6"/>
      <c r="B23" s="62" t="s">
        <v>644</v>
      </c>
      <c r="C23" s="62" t="s">
        <v>645</v>
      </c>
      <c r="D23" s="6"/>
      <c r="E23" s="6"/>
      <c r="F23" s="6"/>
      <c r="G23" s="6"/>
      <c r="H23" s="6"/>
      <c r="I23" s="6"/>
      <c r="J23" s="6"/>
      <c r="K23" s="6"/>
      <c r="L23" s="6"/>
      <c r="M23" s="6"/>
      <c r="N23" s="6"/>
      <c r="O23" s="6"/>
      <c r="P23" s="6"/>
      <c r="Q23" s="6"/>
      <c r="R23" s="6"/>
      <c r="S23" s="6"/>
      <c r="T23" s="6"/>
      <c r="U23" s="6"/>
      <c r="V23" s="6"/>
      <c r="W23" s="60"/>
      <c r="X23" s="60"/>
      <c r="Y23" s="6"/>
      <c r="Z23" s="6"/>
    </row>
    <row r="24" spans="1:26" x14ac:dyDescent="0.25">
      <c r="A24" s="6"/>
      <c r="B24" s="6" t="s">
        <v>640</v>
      </c>
      <c r="C24" s="6">
        <v>2.63</v>
      </c>
      <c r="D24" s="6"/>
      <c r="E24" s="6"/>
      <c r="F24" s="6"/>
      <c r="G24" s="6"/>
      <c r="H24" s="6"/>
      <c r="I24" s="6"/>
      <c r="J24" s="60"/>
      <c r="K24" s="6"/>
      <c r="L24" s="6"/>
      <c r="M24" s="6"/>
      <c r="N24" s="6"/>
      <c r="O24" s="6"/>
      <c r="P24" s="6"/>
      <c r="Q24" s="6"/>
      <c r="R24" s="6"/>
      <c r="S24" s="6"/>
      <c r="T24" s="6"/>
      <c r="U24" s="6"/>
      <c r="V24" s="6"/>
      <c r="W24" s="60"/>
      <c r="X24" s="60"/>
      <c r="Y24" s="6"/>
      <c r="Z24" s="6"/>
    </row>
    <row r="25" spans="1:26" x14ac:dyDescent="0.25">
      <c r="A25" s="6"/>
      <c r="B25" s="6" t="s">
        <v>605</v>
      </c>
      <c r="C25" s="60">
        <v>4.3899999999999997</v>
      </c>
      <c r="D25" s="6"/>
      <c r="E25" s="6"/>
      <c r="F25" s="6"/>
      <c r="G25" s="6"/>
      <c r="H25" s="6"/>
      <c r="I25" s="6"/>
      <c r="J25" s="6"/>
      <c r="K25" s="6"/>
      <c r="L25" s="6"/>
      <c r="M25" s="6"/>
      <c r="N25" s="6"/>
      <c r="O25" s="6"/>
      <c r="P25" s="6"/>
      <c r="Q25" s="6"/>
      <c r="R25" s="6"/>
      <c r="S25" s="6"/>
      <c r="T25" s="6"/>
      <c r="U25" s="6"/>
      <c r="V25" s="6"/>
      <c r="W25" s="60"/>
      <c r="X25" s="60"/>
      <c r="Y25" s="6"/>
      <c r="Z25" s="6"/>
    </row>
    <row r="26" spans="1:26" x14ac:dyDescent="0.25">
      <c r="A26" s="6"/>
      <c r="B26" s="6" t="s">
        <v>39</v>
      </c>
      <c r="C26" s="60">
        <v>3</v>
      </c>
      <c r="D26" s="6"/>
      <c r="E26" s="6"/>
      <c r="F26" s="6"/>
      <c r="G26" s="6"/>
      <c r="H26" s="6"/>
      <c r="I26" s="6"/>
      <c r="J26" s="6"/>
      <c r="K26" s="6"/>
      <c r="L26" s="6"/>
      <c r="M26" s="6"/>
      <c r="N26" s="6"/>
      <c r="O26" s="6"/>
      <c r="P26" s="6"/>
      <c r="Q26" s="6"/>
      <c r="R26" s="6"/>
      <c r="S26" s="6"/>
      <c r="T26" s="6"/>
      <c r="U26" s="6"/>
      <c r="V26" s="6"/>
      <c r="W26" s="60"/>
      <c r="X26" s="60"/>
      <c r="Y26" s="6"/>
      <c r="Z26" s="6"/>
    </row>
    <row r="27" spans="1:26" x14ac:dyDescent="0.25">
      <c r="A27" s="6"/>
      <c r="B27" s="6" t="s">
        <v>643</v>
      </c>
      <c r="C27" s="60">
        <v>3.37</v>
      </c>
      <c r="D27" s="6"/>
      <c r="E27" s="6"/>
      <c r="F27" s="6"/>
      <c r="G27" s="6"/>
      <c r="H27" s="6"/>
      <c r="I27" s="6"/>
      <c r="J27" s="6"/>
      <c r="K27" s="6"/>
      <c r="L27" s="6"/>
      <c r="M27" s="6"/>
      <c r="N27" s="6"/>
      <c r="O27" s="6"/>
      <c r="P27" s="6"/>
      <c r="Q27" s="6"/>
      <c r="R27" s="6"/>
      <c r="S27" s="6"/>
      <c r="T27" s="6"/>
      <c r="U27" s="6"/>
      <c r="V27" s="6"/>
      <c r="W27" s="60"/>
      <c r="X27" s="60"/>
      <c r="Y27" s="6"/>
      <c r="Z27" s="6"/>
    </row>
    <row r="28" spans="1:26" x14ac:dyDescent="0.25">
      <c r="A28" s="6"/>
      <c r="B28" s="6" t="s">
        <v>109</v>
      </c>
      <c r="C28" s="60">
        <v>2.4700000000000002</v>
      </c>
      <c r="D28" s="6"/>
      <c r="E28" s="6"/>
      <c r="F28" s="6"/>
      <c r="G28" s="6"/>
      <c r="H28" s="6"/>
      <c r="I28" s="6"/>
      <c r="J28" s="6"/>
      <c r="K28" s="6"/>
      <c r="L28" s="6"/>
      <c r="M28" s="6"/>
      <c r="N28" s="6"/>
      <c r="O28" s="6"/>
      <c r="P28" s="6"/>
      <c r="Q28" s="6"/>
      <c r="R28" s="6"/>
      <c r="S28" s="6"/>
      <c r="T28" s="6"/>
      <c r="U28" s="6"/>
      <c r="V28" s="6"/>
      <c r="W28" s="60"/>
      <c r="X28" s="60"/>
      <c r="Y28" s="6"/>
      <c r="Z28" s="6"/>
    </row>
    <row r="29" spans="1:26" x14ac:dyDescent="0.25">
      <c r="A29" s="6"/>
      <c r="B29" s="6"/>
      <c r="C29" s="6"/>
      <c r="D29" s="6"/>
      <c r="E29" s="6"/>
      <c r="F29" s="6"/>
      <c r="G29" s="6"/>
      <c r="H29" s="6"/>
      <c r="I29" s="6"/>
      <c r="J29" s="60"/>
      <c r="K29" s="6"/>
      <c r="L29" s="6"/>
      <c r="M29" s="6"/>
      <c r="N29" s="6"/>
      <c r="O29" s="6"/>
      <c r="P29" s="6"/>
      <c r="Q29" s="6"/>
      <c r="R29" s="6"/>
      <c r="S29" s="6"/>
      <c r="T29" s="6"/>
      <c r="U29" s="6"/>
      <c r="V29" s="6"/>
      <c r="W29" s="60"/>
      <c r="X29" s="60"/>
      <c r="Y29" s="6"/>
      <c r="Z29" s="6"/>
    </row>
    <row r="30" spans="1:26" x14ac:dyDescent="0.25">
      <c r="A30" s="6"/>
      <c r="B30" s="6"/>
      <c r="C30" s="6"/>
      <c r="D30" s="6"/>
      <c r="E30" s="6"/>
      <c r="F30" s="6"/>
      <c r="G30" s="6"/>
      <c r="H30" s="6"/>
      <c r="I30" s="6"/>
      <c r="J30" s="60"/>
      <c r="K30" s="6"/>
      <c r="L30" s="6"/>
      <c r="M30" s="6"/>
      <c r="N30" s="6"/>
      <c r="O30" s="6"/>
      <c r="P30" s="6"/>
      <c r="Q30" s="6"/>
      <c r="R30" s="6"/>
      <c r="S30" s="6"/>
      <c r="T30" s="6"/>
      <c r="U30" s="6"/>
      <c r="V30" s="6"/>
      <c r="W30" s="60"/>
      <c r="X30" s="60"/>
      <c r="Y30" s="6"/>
      <c r="Z30" s="6"/>
    </row>
    <row r="31" spans="1:26" x14ac:dyDescent="0.25">
      <c r="A31" s="6"/>
      <c r="B31" s="6"/>
      <c r="C31" s="6">
        <f>SUM(C24:C28)</f>
        <v>15.860000000000001</v>
      </c>
      <c r="D31" s="6"/>
      <c r="E31" s="6"/>
      <c r="F31" s="6"/>
      <c r="G31" s="6"/>
      <c r="H31" s="6"/>
      <c r="I31" s="6"/>
      <c r="J31" s="6"/>
      <c r="K31" s="6"/>
      <c r="L31" s="6"/>
      <c r="M31" s="6"/>
      <c r="N31" s="6"/>
      <c r="O31" s="6"/>
      <c r="P31" s="6"/>
      <c r="Q31" s="6"/>
      <c r="R31" s="6"/>
      <c r="S31" s="6"/>
      <c r="T31" s="6"/>
      <c r="U31" s="6"/>
      <c r="V31" s="6"/>
      <c r="W31" s="60"/>
      <c r="X31" s="60"/>
      <c r="Y31" s="6"/>
      <c r="Z31" s="6"/>
    </row>
    <row r="32" spans="1:26" x14ac:dyDescent="0.25">
      <c r="A32" s="6"/>
      <c r="B32" s="6"/>
      <c r="C32" s="6"/>
      <c r="D32" s="6"/>
      <c r="E32" s="6"/>
      <c r="F32" s="6"/>
      <c r="G32" s="6"/>
      <c r="H32" s="6"/>
      <c r="I32" s="6"/>
      <c r="J32" s="6"/>
      <c r="K32" s="6"/>
      <c r="L32" s="6"/>
      <c r="M32" s="6"/>
      <c r="N32" s="6"/>
      <c r="O32" s="6"/>
      <c r="P32" s="6"/>
      <c r="Q32" s="6"/>
      <c r="R32" s="6"/>
      <c r="S32" s="6"/>
      <c r="T32" s="6"/>
      <c r="U32" s="6"/>
      <c r="V32" s="6"/>
      <c r="W32" s="60"/>
      <c r="X32" s="60"/>
      <c r="Y32" s="6"/>
      <c r="Z32" s="6"/>
    </row>
    <row r="33" spans="1:26" x14ac:dyDescent="0.25">
      <c r="A33" s="6"/>
      <c r="B33" s="6" t="s">
        <v>647</v>
      </c>
      <c r="C33" s="6"/>
      <c r="D33" s="6"/>
      <c r="E33" s="6"/>
      <c r="F33" s="6"/>
      <c r="G33" s="6"/>
      <c r="H33" s="6"/>
      <c r="I33" s="6"/>
      <c r="J33" s="6"/>
      <c r="K33" s="6"/>
      <c r="L33" s="6"/>
      <c r="M33" s="6"/>
      <c r="N33" s="6"/>
      <c r="O33" s="6"/>
      <c r="P33" s="6"/>
      <c r="Q33" s="6"/>
      <c r="R33" s="6"/>
      <c r="S33" s="6"/>
      <c r="T33" s="6"/>
      <c r="U33" s="6"/>
      <c r="V33" s="6"/>
      <c r="W33" s="60"/>
      <c r="X33" s="60"/>
      <c r="Y33" s="6"/>
      <c r="Z33" s="6"/>
    </row>
    <row r="34" spans="1:26" x14ac:dyDescent="0.25">
      <c r="A34" s="6"/>
      <c r="B34" s="6" t="s">
        <v>648</v>
      </c>
      <c r="C34" s="6" t="s">
        <v>649</v>
      </c>
      <c r="D34" s="6"/>
      <c r="E34" s="6"/>
      <c r="F34" s="6"/>
      <c r="G34" s="6"/>
      <c r="H34" s="6"/>
      <c r="I34" s="6"/>
      <c r="J34" s="6"/>
      <c r="K34" s="6"/>
      <c r="L34" s="6"/>
      <c r="M34" s="6"/>
      <c r="N34" s="6"/>
      <c r="O34" s="6"/>
      <c r="P34" s="6"/>
      <c r="Q34" s="6"/>
      <c r="R34" s="6"/>
      <c r="S34" s="6"/>
      <c r="T34" s="6"/>
      <c r="U34" s="6"/>
      <c r="V34" s="6"/>
      <c r="W34" s="60"/>
      <c r="X34" s="60"/>
      <c r="Y34" s="6"/>
      <c r="Z34" s="6"/>
    </row>
    <row r="35" spans="1:26" x14ac:dyDescent="0.25">
      <c r="A35" s="6"/>
      <c r="B35" s="6" t="s">
        <v>652</v>
      </c>
      <c r="C35" s="6" t="s">
        <v>650</v>
      </c>
      <c r="D35" s="6"/>
      <c r="E35" s="6"/>
      <c r="F35" s="6"/>
      <c r="G35" s="6"/>
      <c r="H35" s="6"/>
      <c r="I35" s="6"/>
      <c r="J35" s="6"/>
      <c r="K35" s="60"/>
      <c r="L35" s="6"/>
      <c r="M35" s="6"/>
      <c r="N35" s="6"/>
      <c r="O35" s="6"/>
      <c r="P35" s="6"/>
      <c r="Q35" s="6"/>
      <c r="R35" s="6"/>
      <c r="S35" s="6"/>
      <c r="T35" s="6"/>
      <c r="U35" s="6"/>
      <c r="V35" s="6"/>
      <c r="W35" s="6"/>
      <c r="X35" s="6"/>
      <c r="Y35" s="6"/>
      <c r="Z35" s="6"/>
    </row>
    <row r="36" spans="1:26" x14ac:dyDescent="0.25">
      <c r="A36" s="6" t="s">
        <v>653</v>
      </c>
      <c r="B36" s="6"/>
      <c r="C36" s="6" t="s">
        <v>651</v>
      </c>
      <c r="D36" s="6"/>
      <c r="E36" s="6"/>
      <c r="F36" s="6"/>
      <c r="G36" s="6"/>
      <c r="H36" s="6"/>
      <c r="I36" s="6"/>
      <c r="J36" s="6"/>
      <c r="K36" s="6"/>
      <c r="L36" s="6"/>
      <c r="M36" s="6"/>
      <c r="N36" s="6"/>
      <c r="O36" s="6"/>
      <c r="P36" s="6"/>
      <c r="Q36" s="6"/>
      <c r="R36" s="6"/>
      <c r="S36" s="6"/>
      <c r="T36" s="6"/>
      <c r="U36" s="6"/>
      <c r="V36" s="6"/>
      <c r="W36" s="60"/>
      <c r="X36" s="60"/>
      <c r="Y36" s="6"/>
      <c r="Z36" s="6"/>
    </row>
    <row r="37" spans="1:26" x14ac:dyDescent="0.25">
      <c r="A37" s="6"/>
      <c r="B37" s="6" t="s">
        <v>1034</v>
      </c>
      <c r="C37" s="6" t="s">
        <v>654</v>
      </c>
      <c r="D37" s="6"/>
      <c r="E37" s="6"/>
      <c r="F37" s="6"/>
      <c r="G37" s="6"/>
      <c r="H37" s="6"/>
      <c r="I37" s="6"/>
      <c r="J37" s="6"/>
      <c r="K37" s="6"/>
      <c r="L37" s="6"/>
      <c r="M37" s="6"/>
      <c r="N37" s="6"/>
      <c r="O37" s="6"/>
      <c r="P37" s="6"/>
      <c r="Q37" s="6"/>
      <c r="R37" s="6"/>
      <c r="S37" s="6"/>
      <c r="T37" s="6"/>
      <c r="U37" s="6"/>
      <c r="V37" s="6"/>
      <c r="W37" s="6"/>
      <c r="X37" s="6"/>
      <c r="Y37" s="6"/>
      <c r="Z37" s="6"/>
    </row>
    <row r="38" spans="1:26"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sheetData>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55"/>
  <sheetViews>
    <sheetView workbookViewId="0">
      <selection activeCell="L17" sqref="L17"/>
    </sheetView>
  </sheetViews>
  <sheetFormatPr defaultRowHeight="15" x14ac:dyDescent="0.25"/>
  <cols>
    <col min="1" max="1" width="12.85546875" customWidth="1"/>
    <col min="10" max="10" width="9.7109375" bestFit="1" customWidth="1"/>
  </cols>
  <sheetData>
    <row r="2" spans="1:13" x14ac:dyDescent="0.25">
      <c r="B2" t="s">
        <v>0</v>
      </c>
      <c r="G2" t="s">
        <v>4</v>
      </c>
    </row>
    <row r="3" spans="1:13" x14ac:dyDescent="0.25">
      <c r="B3" t="s">
        <v>3</v>
      </c>
    </row>
    <row r="4" spans="1:13" x14ac:dyDescent="0.25">
      <c r="B4" t="s">
        <v>1</v>
      </c>
    </row>
    <row r="5" spans="1:13" x14ac:dyDescent="0.25">
      <c r="B5">
        <v>1</v>
      </c>
      <c r="C5">
        <v>2</v>
      </c>
      <c r="D5">
        <v>3</v>
      </c>
      <c r="E5">
        <v>4</v>
      </c>
      <c r="F5">
        <v>5</v>
      </c>
      <c r="G5">
        <v>6</v>
      </c>
      <c r="H5">
        <v>7</v>
      </c>
      <c r="I5">
        <v>8</v>
      </c>
      <c r="J5">
        <v>9</v>
      </c>
      <c r="K5">
        <v>10</v>
      </c>
      <c r="M5" t="s">
        <v>5</v>
      </c>
    </row>
    <row r="6" spans="1:13" x14ac:dyDescent="0.25">
      <c r="A6" t="s">
        <v>2</v>
      </c>
      <c r="B6">
        <v>10.199999999999999</v>
      </c>
      <c r="C6">
        <v>11.8</v>
      </c>
      <c r="D6">
        <v>13.04</v>
      </c>
      <c r="E6">
        <v>12.84</v>
      </c>
      <c r="F6">
        <v>13.44</v>
      </c>
      <c r="G6">
        <v>14.47</v>
      </c>
      <c r="H6">
        <v>15.55</v>
      </c>
      <c r="I6">
        <v>17.05</v>
      </c>
      <c r="J6">
        <v>18.89</v>
      </c>
      <c r="K6">
        <v>24.52</v>
      </c>
      <c r="M6">
        <f>J6/C6</f>
        <v>1.6008474576271186</v>
      </c>
    </row>
    <row r="7" spans="1:13" x14ac:dyDescent="0.25">
      <c r="A7" t="s">
        <v>6</v>
      </c>
      <c r="B7">
        <v>6904</v>
      </c>
      <c r="C7">
        <v>10983</v>
      </c>
      <c r="D7">
        <v>14329</v>
      </c>
      <c r="E7">
        <v>18136</v>
      </c>
      <c r="F7">
        <v>22402</v>
      </c>
      <c r="G7">
        <v>27268</v>
      </c>
      <c r="H7">
        <v>32816</v>
      </c>
      <c r="I7">
        <v>39665</v>
      </c>
      <c r="J7">
        <v>50303</v>
      </c>
      <c r="K7">
        <v>74858</v>
      </c>
      <c r="L7">
        <f>SUM(B7:K7)</f>
        <v>297664</v>
      </c>
      <c r="M7">
        <f>J7/C7</f>
        <v>4.580078302831649</v>
      </c>
    </row>
    <row r="8" spans="1:13" x14ac:dyDescent="0.25">
      <c r="B8">
        <f>B6*1000</f>
        <v>10200</v>
      </c>
      <c r="C8">
        <f t="shared" ref="C8:K8" si="0">C6*1000</f>
        <v>11800</v>
      </c>
      <c r="D8">
        <f t="shared" si="0"/>
        <v>13040</v>
      </c>
      <c r="E8">
        <f t="shared" si="0"/>
        <v>12840</v>
      </c>
      <c r="F8">
        <f t="shared" si="0"/>
        <v>13440</v>
      </c>
      <c r="G8">
        <f t="shared" si="0"/>
        <v>14470</v>
      </c>
      <c r="H8">
        <f t="shared" si="0"/>
        <v>15550</v>
      </c>
      <c r="I8">
        <f t="shared" si="0"/>
        <v>17050</v>
      </c>
      <c r="J8">
        <f t="shared" si="0"/>
        <v>18890</v>
      </c>
      <c r="K8">
        <f t="shared" si="0"/>
        <v>24520</v>
      </c>
    </row>
    <row r="9" spans="1:13" x14ac:dyDescent="0.25">
      <c r="B9">
        <v>6904</v>
      </c>
      <c r="C9">
        <v>10983</v>
      </c>
      <c r="D9">
        <v>14329</v>
      </c>
      <c r="E9">
        <v>18136</v>
      </c>
      <c r="F9">
        <v>22402</v>
      </c>
      <c r="G9">
        <v>27268</v>
      </c>
      <c r="H9">
        <v>32816</v>
      </c>
      <c r="I9">
        <v>39665</v>
      </c>
      <c r="J9">
        <v>50303</v>
      </c>
      <c r="K9">
        <v>74858</v>
      </c>
    </row>
    <row r="10" spans="1:13" x14ac:dyDescent="0.25">
      <c r="B10" s="6">
        <f t="shared" ref="B10:K10" si="1">B12/1000</f>
        <v>7.0259999999999998</v>
      </c>
      <c r="C10" s="6">
        <f t="shared" si="1"/>
        <v>11.164999999999999</v>
      </c>
      <c r="D10" s="6">
        <f t="shared" si="1"/>
        <v>13.456</v>
      </c>
      <c r="E10" s="6">
        <f t="shared" si="1"/>
        <v>15.664999999999999</v>
      </c>
      <c r="F10" s="6">
        <f t="shared" si="1"/>
        <v>18.170999999999999</v>
      </c>
      <c r="G10" s="6">
        <f t="shared" si="1"/>
        <v>21.198</v>
      </c>
      <c r="H10" s="6">
        <f t="shared" si="1"/>
        <v>24.827999999999999</v>
      </c>
      <c r="I10" s="6">
        <f t="shared" si="1"/>
        <v>29.468</v>
      </c>
      <c r="J10" s="6">
        <f t="shared" si="1"/>
        <v>36.542999999999999</v>
      </c>
      <c r="K10" s="6">
        <f t="shared" si="1"/>
        <v>63.661000000000001</v>
      </c>
      <c r="L10" t="s">
        <v>173</v>
      </c>
    </row>
    <row r="11" spans="1:13" x14ac:dyDescent="0.25">
      <c r="A11" t="e">
        <f>AVERAGE(#REF!)</f>
        <v>#REF!</v>
      </c>
      <c r="B11" s="6">
        <f t="shared" ref="B11:J11" si="2">B13/1000</f>
        <v>10.199999999999999</v>
      </c>
      <c r="C11" s="6">
        <f t="shared" si="2"/>
        <v>11.8</v>
      </c>
      <c r="D11" s="6">
        <f t="shared" si="2"/>
        <v>13.04</v>
      </c>
      <c r="E11" s="6">
        <f t="shared" si="2"/>
        <v>12.84</v>
      </c>
      <c r="F11" s="6">
        <f t="shared" si="2"/>
        <v>13.44</v>
      </c>
      <c r="G11" s="6">
        <f t="shared" si="2"/>
        <v>14.47</v>
      </c>
      <c r="H11" s="6">
        <f t="shared" si="2"/>
        <v>15.55</v>
      </c>
      <c r="I11" s="6">
        <f t="shared" si="2"/>
        <v>17.05</v>
      </c>
      <c r="J11" s="6">
        <f t="shared" si="2"/>
        <v>18.89</v>
      </c>
      <c r="K11" s="6">
        <v>24.52</v>
      </c>
      <c r="L11" s="1" t="s">
        <v>7</v>
      </c>
    </row>
    <row r="12" spans="1:13" x14ac:dyDescent="0.25">
      <c r="B12">
        <v>7026</v>
      </c>
      <c r="C12">
        <v>11165</v>
      </c>
      <c r="D12">
        <v>13456</v>
      </c>
      <c r="E12">
        <v>15665</v>
      </c>
      <c r="F12">
        <v>18171</v>
      </c>
      <c r="G12">
        <v>21198</v>
      </c>
      <c r="H12">
        <v>24828</v>
      </c>
      <c r="I12">
        <v>29468</v>
      </c>
      <c r="J12">
        <v>36543</v>
      </c>
      <c r="K12">
        <v>63661</v>
      </c>
    </row>
    <row r="13" spans="1:13" x14ac:dyDescent="0.25">
      <c r="B13">
        <v>10200</v>
      </c>
      <c r="C13">
        <v>11800</v>
      </c>
      <c r="D13">
        <v>13040</v>
      </c>
      <c r="E13">
        <v>12840</v>
      </c>
      <c r="F13">
        <v>13440</v>
      </c>
      <c r="G13">
        <v>14470</v>
      </c>
      <c r="H13">
        <v>15550</v>
      </c>
      <c r="I13">
        <v>17050</v>
      </c>
      <c r="J13">
        <v>18890</v>
      </c>
      <c r="K13">
        <v>24520</v>
      </c>
      <c r="M13">
        <f>-0.0012*23^2+0.33365*23+8</f>
        <v>15.039149999999999</v>
      </c>
    </row>
    <row r="14" spans="1:13" x14ac:dyDescent="0.25">
      <c r="B14">
        <f>-0.0012*B10+0.31*B10+8</f>
        <v>10.1696288</v>
      </c>
      <c r="C14">
        <f t="shared" ref="C14:K14" si="3">-0.0012*C10+0.31*C10+8</f>
        <v>11.447751999999999</v>
      </c>
      <c r="D14">
        <f t="shared" si="3"/>
        <v>12.155212800000001</v>
      </c>
      <c r="E14">
        <f t="shared" si="3"/>
        <v>12.837351999999999</v>
      </c>
      <c r="F14">
        <f t="shared" si="3"/>
        <v>13.611204799999999</v>
      </c>
      <c r="G14">
        <f t="shared" si="3"/>
        <v>14.545942400000001</v>
      </c>
      <c r="H14">
        <f t="shared" si="3"/>
        <v>15.666886399999999</v>
      </c>
      <c r="I14">
        <f t="shared" si="3"/>
        <v>17.0997184</v>
      </c>
      <c r="J14">
        <f t="shared" si="3"/>
        <v>19.284478399999998</v>
      </c>
      <c r="K14">
        <f t="shared" si="3"/>
        <v>27.658516800000001</v>
      </c>
    </row>
    <row r="15" spans="1:13" x14ac:dyDescent="0.25">
      <c r="B15" s="15">
        <f>-0.00122*B10^2+0.3365*B10+8.1</f>
        <v>10.40402409528</v>
      </c>
      <c r="C15" s="16">
        <f t="shared" ref="C15:K15" si="4">-0.00122*C10^2+0.3365*C10+8.1</f>
        <v>11.7049406855</v>
      </c>
      <c r="D15" s="16">
        <f t="shared" si="4"/>
        <v>12.407045998079999</v>
      </c>
      <c r="E15" s="16">
        <f t="shared" si="4"/>
        <v>13.071893985500001</v>
      </c>
      <c r="F15" s="16">
        <f t="shared" si="4"/>
        <v>13.811715505980001</v>
      </c>
      <c r="G15" s="16">
        <f t="shared" si="4"/>
        <v>14.68491365112</v>
      </c>
      <c r="H15" s="16">
        <f t="shared" si="4"/>
        <v>15.70257790752</v>
      </c>
      <c r="I15" s="16">
        <f t="shared" si="4"/>
        <v>16.95657911072</v>
      </c>
      <c r="J15" s="16">
        <f t="shared" si="4"/>
        <v>18.767542664220002</v>
      </c>
      <c r="K15" s="16">
        <f t="shared" si="4"/>
        <v>24.577604536380001</v>
      </c>
      <c r="M15" s="16">
        <f>AVERAGE(B15:K15)</f>
        <v>15.208883814029999</v>
      </c>
    </row>
    <row r="16" spans="1:13" x14ac:dyDescent="0.25">
      <c r="A16" s="6" t="s">
        <v>133</v>
      </c>
      <c r="B16" s="6"/>
      <c r="C16" s="6"/>
      <c r="D16" s="6"/>
      <c r="E16" s="6"/>
      <c r="F16" s="6"/>
    </row>
    <row r="17" spans="1:11" x14ac:dyDescent="0.25">
      <c r="A17" s="13" t="s">
        <v>170</v>
      </c>
      <c r="B17" s="13"/>
      <c r="C17" s="13"/>
      <c r="D17" s="13"/>
      <c r="E17" s="13"/>
      <c r="F17" s="13"/>
      <c r="H17" t="s">
        <v>194</v>
      </c>
    </row>
    <row r="18" spans="1:11" x14ac:dyDescent="0.25">
      <c r="A18" t="s">
        <v>172</v>
      </c>
    </row>
    <row r="19" spans="1:11" x14ac:dyDescent="0.25">
      <c r="A19" s="13" t="s">
        <v>191</v>
      </c>
      <c r="B19" s="13">
        <v>21.5</v>
      </c>
      <c r="C19" s="13">
        <v>24.5</v>
      </c>
      <c r="D19" s="13">
        <v>28.5</v>
      </c>
      <c r="E19" s="13">
        <v>32.5</v>
      </c>
      <c r="F19" s="13">
        <v>37</v>
      </c>
      <c r="G19" s="14">
        <v>41</v>
      </c>
      <c r="I19" t="s">
        <v>57</v>
      </c>
    </row>
    <row r="20" spans="1:11" x14ac:dyDescent="0.25">
      <c r="A20" s="13" t="s">
        <v>192</v>
      </c>
      <c r="B20" s="13">
        <v>300</v>
      </c>
      <c r="C20" s="13">
        <v>400</v>
      </c>
      <c r="D20" s="13">
        <v>500</v>
      </c>
      <c r="E20" s="13">
        <v>600</v>
      </c>
      <c r="F20" s="13">
        <v>700</v>
      </c>
      <c r="G20" s="14">
        <v>800</v>
      </c>
    </row>
    <row r="21" spans="1:11" x14ac:dyDescent="0.25">
      <c r="A21" s="13" t="s">
        <v>193</v>
      </c>
      <c r="B21">
        <f t="shared" ref="B21:G21" si="5">(B20*52)/1000</f>
        <v>15.6</v>
      </c>
      <c r="C21">
        <f t="shared" si="5"/>
        <v>20.8</v>
      </c>
      <c r="D21">
        <f t="shared" si="5"/>
        <v>26</v>
      </c>
      <c r="E21">
        <f t="shared" si="5"/>
        <v>31.2</v>
      </c>
      <c r="F21">
        <f t="shared" si="5"/>
        <v>36.4</v>
      </c>
      <c r="G21">
        <f t="shared" si="5"/>
        <v>41.6</v>
      </c>
      <c r="I21" t="s">
        <v>171</v>
      </c>
    </row>
    <row r="22" spans="1:11" x14ac:dyDescent="0.25">
      <c r="A22" s="13" t="s">
        <v>190</v>
      </c>
      <c r="B22" s="31">
        <f t="shared" ref="B22:G22" si="6">B19/2.4</f>
        <v>8.9583333333333339</v>
      </c>
      <c r="C22" s="31">
        <f t="shared" si="6"/>
        <v>10.208333333333334</v>
      </c>
      <c r="D22" s="31">
        <f t="shared" si="6"/>
        <v>11.875</v>
      </c>
      <c r="E22" s="31">
        <f t="shared" si="6"/>
        <v>13.541666666666668</v>
      </c>
      <c r="F22" s="31">
        <f t="shared" si="6"/>
        <v>15.416666666666668</v>
      </c>
      <c r="G22" s="31">
        <f t="shared" si="6"/>
        <v>17.083333333333336</v>
      </c>
    </row>
    <row r="23" spans="1:11" x14ac:dyDescent="0.25">
      <c r="A23" s="13"/>
      <c r="B23" s="13">
        <f t="shared" ref="B23:G23" si="7">0.3182*B21+3.8</f>
        <v>8.7639199999999988</v>
      </c>
      <c r="C23" s="13">
        <f t="shared" si="7"/>
        <v>10.418559999999999</v>
      </c>
      <c r="D23" s="13">
        <f t="shared" si="7"/>
        <v>12.0732</v>
      </c>
      <c r="E23" s="13">
        <f t="shared" si="7"/>
        <v>13.72784</v>
      </c>
      <c r="F23" s="13">
        <f t="shared" si="7"/>
        <v>15.382479999999997</v>
      </c>
      <c r="G23" s="13">
        <f t="shared" si="7"/>
        <v>17.037119999999998</v>
      </c>
      <c r="H23" s="13"/>
      <c r="I23" s="13"/>
      <c r="J23" s="13"/>
      <c r="K23" s="13"/>
    </row>
    <row r="24" spans="1:11" x14ac:dyDescent="0.25">
      <c r="A24" s="10" t="s">
        <v>106</v>
      </c>
      <c r="E24">
        <f>E23/B23</f>
        <v>1.5664040748888628</v>
      </c>
      <c r="G24">
        <f>G23/C23</f>
        <v>1.6352662939984028</v>
      </c>
    </row>
    <row r="25" spans="1:11" x14ac:dyDescent="0.25">
      <c r="A25" s="12" t="s">
        <v>57</v>
      </c>
      <c r="B25" s="12">
        <v>1</v>
      </c>
      <c r="C25" s="12">
        <v>2</v>
      </c>
      <c r="D25" s="12">
        <v>3</v>
      </c>
      <c r="E25" s="12">
        <v>4</v>
      </c>
      <c r="F25" s="12">
        <v>5</v>
      </c>
      <c r="G25" s="12"/>
      <c r="H25" s="12"/>
      <c r="I25" s="12"/>
    </row>
    <row r="26" spans="1:11" x14ac:dyDescent="0.25">
      <c r="A26" s="12" t="s">
        <v>12</v>
      </c>
      <c r="B26" s="12">
        <v>18.71</v>
      </c>
      <c r="C26" s="12">
        <v>15.64</v>
      </c>
      <c r="D26" s="12">
        <v>13.03</v>
      </c>
      <c r="E26" s="12">
        <v>11.02</v>
      </c>
      <c r="F26" s="12"/>
      <c r="G26" s="12"/>
      <c r="H26" s="12"/>
      <c r="I26" s="12">
        <f>-1.22*B11^2+336+8</f>
        <v>217.07120000000003</v>
      </c>
    </row>
    <row r="27" spans="1:11" x14ac:dyDescent="0.25">
      <c r="A27" s="12"/>
      <c r="B27" s="12"/>
      <c r="C27" s="12"/>
      <c r="D27" s="12"/>
      <c r="E27" s="12"/>
      <c r="F27" s="12"/>
      <c r="G27" s="12"/>
      <c r="H27" s="12"/>
      <c r="I27" s="12"/>
    </row>
    <row r="28" spans="1:11" x14ac:dyDescent="0.25">
      <c r="A28" s="12"/>
      <c r="B28" s="12" t="s">
        <v>11</v>
      </c>
      <c r="C28" s="12"/>
      <c r="D28" s="12"/>
      <c r="E28" s="12"/>
      <c r="F28" s="12"/>
      <c r="G28" s="12"/>
      <c r="H28" s="12"/>
      <c r="I28" s="12"/>
    </row>
    <row r="29" spans="1:11" x14ac:dyDescent="0.25">
      <c r="A29" s="12" t="s">
        <v>8</v>
      </c>
      <c r="B29" s="12">
        <v>1.4</v>
      </c>
      <c r="C29" s="12">
        <v>0.4</v>
      </c>
      <c r="D29" s="12">
        <v>-0.6</v>
      </c>
      <c r="E29" s="12">
        <v>-1.6</v>
      </c>
      <c r="F29" s="12">
        <v>-2.6</v>
      </c>
      <c r="G29" s="12">
        <v>-3.6</v>
      </c>
      <c r="H29" s="12">
        <v>-4.5999999999999996</v>
      </c>
      <c r="I29" s="12"/>
    </row>
    <row r="30" spans="1:11" x14ac:dyDescent="0.25">
      <c r="A30" s="12"/>
      <c r="B30" s="12">
        <v>18.71</v>
      </c>
      <c r="C30" s="12">
        <v>15.64</v>
      </c>
      <c r="D30" s="12">
        <v>13.03</v>
      </c>
      <c r="E30" s="12">
        <v>11.02</v>
      </c>
      <c r="F30" s="12"/>
      <c r="G30" s="12"/>
      <c r="H30" s="12"/>
      <c r="I30" s="12"/>
    </row>
    <row r="31" spans="1:11" x14ac:dyDescent="0.25">
      <c r="A31" s="12"/>
      <c r="B31" s="12"/>
      <c r="C31" s="12"/>
      <c r="D31" s="12"/>
      <c r="E31" s="12"/>
      <c r="F31" s="12"/>
      <c r="G31" s="12"/>
      <c r="H31" s="12"/>
      <c r="I31" s="12"/>
    </row>
    <row r="32" spans="1:11" x14ac:dyDescent="0.25">
      <c r="A32" s="12"/>
      <c r="B32" s="12"/>
      <c r="C32" s="12"/>
      <c r="D32" s="12"/>
      <c r="E32" s="12"/>
      <c r="F32" s="12"/>
      <c r="G32" s="12"/>
      <c r="H32" s="12"/>
      <c r="I32" s="12"/>
    </row>
    <row r="33" spans="1:9" x14ac:dyDescent="0.25">
      <c r="A33" s="12"/>
      <c r="B33" s="12">
        <f>14.37*(EXP(0.177*1.4))</f>
        <v>18.410896678049991</v>
      </c>
      <c r="C33" s="12">
        <f>14.3*EXP(0.177*0.4)</f>
        <v>15.349141394635289</v>
      </c>
      <c r="D33" s="12">
        <f>14.3*EXP(0.177*-0.6)</f>
        <v>12.859200370210518</v>
      </c>
      <c r="E33" s="12">
        <f>14.3*EXP(0.177*-1.6)</f>
        <v>10.773178115292971</v>
      </c>
      <c r="F33" s="12">
        <f>14.3*EXP(0.177*-2.6)</f>
        <v>9.0255508400579796</v>
      </c>
      <c r="G33" s="12">
        <f>14.3*EXP(0.177*-3.6)</f>
        <v>7.561424037985101</v>
      </c>
      <c r="H33" s="12">
        <f>14.3*EXP(0.177*-4.6)</f>
        <v>6.3348082012301443</v>
      </c>
      <c r="I33" s="12"/>
    </row>
    <row r="34" spans="1:9" x14ac:dyDescent="0.25">
      <c r="A34" s="12"/>
      <c r="B34" s="12" t="s">
        <v>9</v>
      </c>
      <c r="C34" s="12"/>
      <c r="D34" s="12"/>
      <c r="E34" s="12"/>
      <c r="F34" s="12"/>
      <c r="G34" s="12"/>
      <c r="H34" s="12"/>
      <c r="I34" s="12"/>
    </row>
    <row r="35" spans="1:9" x14ac:dyDescent="0.25">
      <c r="A35" s="12"/>
      <c r="B35" s="12" t="s">
        <v>10</v>
      </c>
      <c r="C35" s="12"/>
      <c r="D35" s="12"/>
      <c r="E35" s="12">
        <f>B13*EXP(0.177*-1.5)</f>
        <v>7821.588917433427</v>
      </c>
      <c r="F35" s="12"/>
      <c r="G35" s="12" t="e">
        <f>#REF!*EXP(0.117*1.5)</f>
        <v>#REF!</v>
      </c>
      <c r="H35" s="12"/>
      <c r="I35" s="12"/>
    </row>
    <row r="36" spans="1:9" x14ac:dyDescent="0.25">
      <c r="A36" s="12"/>
      <c r="B36" s="12"/>
      <c r="C36" s="12">
        <f>13440*EXP(0.177*0.4)</f>
        <v>14426.046177894985</v>
      </c>
      <c r="D36" s="12">
        <f>14470*EXP(0.177*-0.6)</f>
        <v>13012.07198300323</v>
      </c>
      <c r="E36" s="12"/>
      <c r="F36" s="12"/>
      <c r="G36" s="12"/>
      <c r="H36" s="12"/>
      <c r="I36" s="12">
        <f>24550*EXP(-0.177)</f>
        <v>20567.4937100395</v>
      </c>
    </row>
    <row r="37" spans="1:9" x14ac:dyDescent="0.25">
      <c r="A37" s="12"/>
      <c r="B37" s="12">
        <f>0.265*B29^2+2.621*B29+15</f>
        <v>19.188800000000001</v>
      </c>
      <c r="C37" s="12">
        <f>0.265*C29^2+2.621*C29+15</f>
        <v>16.090800000000002</v>
      </c>
      <c r="D37" s="12">
        <f>0.265*D29^2+2.621*D29+15</f>
        <v>13.5228</v>
      </c>
      <c r="E37" s="12">
        <f>0.265*E29^2+2.621*E29+15</f>
        <v>11.4848</v>
      </c>
      <c r="F37" s="12">
        <f>0.265*F29^2+2.621*F29+15</f>
        <v>9.9768000000000008</v>
      </c>
      <c r="G37" s="12"/>
      <c r="H37" s="12"/>
      <c r="I37" s="12"/>
    </row>
    <row r="38" spans="1:9" x14ac:dyDescent="0.25">
      <c r="A38" s="12"/>
      <c r="B38" s="12"/>
      <c r="C38" s="12"/>
      <c r="D38" s="12"/>
      <c r="E38" s="12"/>
      <c r="F38" s="12"/>
      <c r="G38" s="12"/>
      <c r="H38" s="12" t="s">
        <v>163</v>
      </c>
      <c r="I38" s="12">
        <f>E33/B33</f>
        <v>0.58515227713689089</v>
      </c>
    </row>
    <row r="39" spans="1:9" x14ac:dyDescent="0.25">
      <c r="A39" s="12"/>
      <c r="B39" s="12"/>
      <c r="C39" s="12"/>
      <c r="D39" s="12"/>
      <c r="E39" s="12"/>
      <c r="F39" s="12"/>
      <c r="G39" s="12"/>
      <c r="H39" s="12" t="s">
        <v>165</v>
      </c>
      <c r="I39" s="12">
        <f>G33/D33</f>
        <v>0.58801665891308552</v>
      </c>
    </row>
    <row r="40" spans="1:9" x14ac:dyDescent="0.25">
      <c r="A40" s="11" t="s">
        <v>13</v>
      </c>
      <c r="B40" s="11"/>
      <c r="C40" s="11">
        <v>1</v>
      </c>
      <c r="D40" s="11">
        <v>2</v>
      </c>
      <c r="E40" s="11">
        <v>3</v>
      </c>
      <c r="F40" s="11">
        <v>4</v>
      </c>
      <c r="G40" s="11"/>
      <c r="H40" s="11"/>
      <c r="I40" s="11"/>
    </row>
    <row r="41" spans="1:9" x14ac:dyDescent="0.25">
      <c r="A41" s="11"/>
      <c r="B41" s="11"/>
      <c r="C41" s="11">
        <v>1.4</v>
      </c>
      <c r="D41" s="11">
        <v>0.4</v>
      </c>
      <c r="E41" s="11">
        <v>-0.6</v>
      </c>
      <c r="F41" s="11">
        <v>-1.6</v>
      </c>
      <c r="G41" s="11"/>
      <c r="H41" s="11"/>
      <c r="I41" s="11"/>
    </row>
    <row r="42" spans="1:9" x14ac:dyDescent="0.25">
      <c r="A42" s="11"/>
      <c r="B42" s="11"/>
      <c r="C42" s="11">
        <f>G43/C40</f>
        <v>10.9</v>
      </c>
      <c r="D42" s="11">
        <f>H43/D40</f>
        <v>10.7</v>
      </c>
      <c r="E42" s="11">
        <f>I43/E40</f>
        <v>9.1</v>
      </c>
      <c r="F42" s="11">
        <f>J55/F40</f>
        <v>8.4749999999999996</v>
      </c>
      <c r="G42" s="11"/>
      <c r="H42" s="11"/>
      <c r="I42" s="11"/>
    </row>
    <row r="43" spans="1:9" x14ac:dyDescent="0.25">
      <c r="A43" s="11"/>
      <c r="B43" s="11"/>
      <c r="C43" s="11"/>
      <c r="D43" s="11"/>
      <c r="E43" s="11"/>
      <c r="F43" s="11"/>
      <c r="G43" s="11">
        <v>10.9</v>
      </c>
      <c r="H43" s="11">
        <v>21.4</v>
      </c>
      <c r="I43" s="11">
        <v>27.3</v>
      </c>
    </row>
    <row r="44" spans="1:9" x14ac:dyDescent="0.25">
      <c r="A44" s="11"/>
      <c r="B44" s="11"/>
      <c r="C44" s="11"/>
      <c r="D44" s="11"/>
      <c r="E44" s="11"/>
      <c r="F44" s="11"/>
      <c r="G44" s="11"/>
      <c r="H44" s="11"/>
      <c r="I44" s="11"/>
    </row>
    <row r="45" spans="1:9" x14ac:dyDescent="0.25">
      <c r="A45" s="11"/>
      <c r="B45" s="11"/>
      <c r="C45" s="11">
        <v>1.4</v>
      </c>
      <c r="D45" s="11">
        <v>0.4</v>
      </c>
      <c r="E45" s="11">
        <v>-0.6</v>
      </c>
      <c r="F45" s="11">
        <v>-1.6</v>
      </c>
      <c r="G45" s="11">
        <v>-2.6</v>
      </c>
      <c r="H45" s="11">
        <v>-3.6</v>
      </c>
      <c r="I45" s="11">
        <v>-4.5999999999999996</v>
      </c>
    </row>
    <row r="46" spans="1:9" x14ac:dyDescent="0.25">
      <c r="A46" s="11" t="s">
        <v>166</v>
      </c>
      <c r="B46" s="11"/>
      <c r="C46" s="11">
        <f>9.8283*EXP(0.0917*C45)</f>
        <v>11.174629428884435</v>
      </c>
      <c r="D46" s="11">
        <f t="shared" ref="D46:I46" si="8">9.8283*EXP(0.0917*D45)</f>
        <v>10.195495236163048</v>
      </c>
      <c r="E46" s="11">
        <f t="shared" si="8"/>
        <v>9.3021539346920896</v>
      </c>
      <c r="F46" s="11">
        <f t="shared" si="8"/>
        <v>8.4870882502880836</v>
      </c>
      <c r="G46" s="11">
        <f t="shared" si="8"/>
        <v>7.7434395811858083</v>
      </c>
      <c r="H46" s="11">
        <f t="shared" si="8"/>
        <v>7.0649502843851968</v>
      </c>
      <c r="I46" s="11">
        <f t="shared" si="8"/>
        <v>6.4459110189364797</v>
      </c>
    </row>
    <row r="47" spans="1:9" x14ac:dyDescent="0.25">
      <c r="A47" s="11" t="s">
        <v>167</v>
      </c>
      <c r="B47" s="11"/>
      <c r="C47" s="11">
        <f>15*EXP(0.0917*C45)</f>
        <v>17.054774623614108</v>
      </c>
      <c r="D47" s="11">
        <f t="shared" ref="D47:I47" si="9">15*EXP(0.0917*D45)</f>
        <v>15.560415182935573</v>
      </c>
      <c r="E47" s="11">
        <f t="shared" si="9"/>
        <v>14.196993276597309</v>
      </c>
      <c r="F47" s="11">
        <f t="shared" si="9"/>
        <v>12.953036003614178</v>
      </c>
      <c r="G47" s="11">
        <f t="shared" si="9"/>
        <v>11.818075732098849</v>
      </c>
      <c r="H47" s="11">
        <f t="shared" si="9"/>
        <v>10.782562016399373</v>
      </c>
      <c r="I47" s="11">
        <f t="shared" si="9"/>
        <v>9.8377812321609213</v>
      </c>
    </row>
    <row r="48" spans="1:9" x14ac:dyDescent="0.25">
      <c r="A48" s="11"/>
      <c r="B48" s="11"/>
      <c r="C48" s="11"/>
      <c r="D48" s="11"/>
      <c r="E48" s="11"/>
      <c r="F48" s="11"/>
      <c r="G48" s="11"/>
      <c r="H48" s="11" t="s">
        <v>164</v>
      </c>
      <c r="I48" s="11">
        <f>F46/C46</f>
        <v>0.75949616981038004</v>
      </c>
    </row>
    <row r="49" spans="1:10" x14ac:dyDescent="0.25">
      <c r="A49" s="11"/>
      <c r="B49" s="11"/>
      <c r="C49" s="11"/>
      <c r="D49" s="11"/>
      <c r="E49" s="11"/>
      <c r="F49" s="11"/>
      <c r="G49" s="11"/>
      <c r="H49" s="11" t="s">
        <v>165</v>
      </c>
      <c r="I49" s="11">
        <f>H46/E46</f>
        <v>0.75949616981037993</v>
      </c>
    </row>
    <row r="50" spans="1:10" x14ac:dyDescent="0.25">
      <c r="A50" s="11"/>
      <c r="B50" s="11"/>
      <c r="C50" s="11"/>
      <c r="D50" s="11"/>
      <c r="E50" s="11"/>
      <c r="F50" s="11"/>
      <c r="G50" s="11"/>
      <c r="H50" s="11" t="s">
        <v>164</v>
      </c>
      <c r="I50" s="11">
        <f>F47/C47</f>
        <v>0.75949616981037993</v>
      </c>
    </row>
    <row r="51" spans="1:10" x14ac:dyDescent="0.25">
      <c r="A51" s="11"/>
      <c r="B51" s="11"/>
      <c r="C51" s="11"/>
      <c r="D51" s="11"/>
      <c r="E51" s="11"/>
      <c r="F51" s="11"/>
      <c r="G51" s="11"/>
      <c r="H51" s="11" t="s">
        <v>165</v>
      </c>
      <c r="I51" s="11">
        <f>H47/E47</f>
        <v>0.75949616981037993</v>
      </c>
    </row>
    <row r="52" spans="1:10" x14ac:dyDescent="0.25">
      <c r="A52" t="s">
        <v>169</v>
      </c>
      <c r="B52">
        <v>17.054774623614108</v>
      </c>
      <c r="C52">
        <v>15.560415182935573</v>
      </c>
      <c r="D52">
        <v>14.196993276597309</v>
      </c>
      <c r="E52">
        <v>12.953036003614178</v>
      </c>
      <c r="F52">
        <v>11.818075732098849</v>
      </c>
      <c r="G52">
        <v>10.782562016399373</v>
      </c>
      <c r="H52">
        <v>9.8377812321609213</v>
      </c>
    </row>
    <row r="53" spans="1:10" x14ac:dyDescent="0.25">
      <c r="A53" t="s">
        <v>168</v>
      </c>
      <c r="B53">
        <f>14.37*(EXP(0.177*1.4))</f>
        <v>18.410896678049991</v>
      </c>
      <c r="C53">
        <f>14.3*EXP(0.177*0.4)</f>
        <v>15.349141394635289</v>
      </c>
      <c r="D53">
        <f>14.3*EXP(0.177*-0.6)</f>
        <v>12.859200370210518</v>
      </c>
      <c r="E53">
        <f>14.3*EXP(0.177*-1.6)</f>
        <v>10.773178115292971</v>
      </c>
      <c r="F53">
        <f>14.3*EXP(0.177*-2.6)</f>
        <v>9.0255508400579796</v>
      </c>
      <c r="G53">
        <f>14.3*EXP(0.177*-3.6)</f>
        <v>7.561424037985101</v>
      </c>
      <c r="H53">
        <f>14.3*EXP(0.177*-4.6)</f>
        <v>6.3348082012301443</v>
      </c>
    </row>
    <row r="55" spans="1:10" x14ac:dyDescent="0.25">
      <c r="A55" t="s">
        <v>174</v>
      </c>
      <c r="J55">
        <v>33.9</v>
      </c>
    </row>
  </sheetData>
  <hyperlinks>
    <hyperlink ref="L11" r:id="rId1"/>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37"/>
  <sheetViews>
    <sheetView showGridLines="0" showRowColHeaders="0" topLeftCell="A6" zoomScale="120" zoomScaleNormal="120" workbookViewId="0">
      <selection activeCell="A14" sqref="A14"/>
    </sheetView>
  </sheetViews>
  <sheetFormatPr defaultRowHeight="15" x14ac:dyDescent="0.25"/>
  <cols>
    <col min="1" max="1" width="44.28515625" customWidth="1"/>
    <col min="2" max="2" width="47.140625" customWidth="1"/>
    <col min="3" max="3" width="42.85546875" customWidth="1"/>
    <col min="4" max="4" width="13.7109375" customWidth="1"/>
  </cols>
  <sheetData>
    <row r="1" spans="1:4" ht="33.75" x14ac:dyDescent="0.5">
      <c r="A1" s="305" t="s">
        <v>1449</v>
      </c>
      <c r="B1" s="165" t="s">
        <v>1459</v>
      </c>
      <c r="C1" s="125"/>
      <c r="D1" s="125"/>
    </row>
    <row r="2" spans="1:4" x14ac:dyDescent="0.25">
      <c r="A2" s="125"/>
      <c r="B2" s="125"/>
      <c r="C2" s="125"/>
      <c r="D2" s="125"/>
    </row>
    <row r="3" spans="1:4" ht="39" customHeight="1" x14ac:dyDescent="0.25">
      <c r="A3" s="125"/>
      <c r="B3" s="159" t="s">
        <v>1454</v>
      </c>
      <c r="C3" s="125"/>
      <c r="D3" s="125"/>
    </row>
    <row r="4" spans="1:4" ht="39" customHeight="1" x14ac:dyDescent="0.25">
      <c r="A4" s="125"/>
      <c r="B4" s="160" t="s">
        <v>1455</v>
      </c>
      <c r="C4" s="125"/>
      <c r="D4" s="125"/>
    </row>
    <row r="5" spans="1:4" ht="54.75" customHeight="1" x14ac:dyDescent="0.25">
      <c r="A5" s="125"/>
      <c r="B5" s="159" t="s">
        <v>1456</v>
      </c>
      <c r="C5" s="125"/>
      <c r="D5" s="125"/>
    </row>
    <row r="6" spans="1:4" ht="23.25" customHeight="1" x14ac:dyDescent="0.25">
      <c r="A6" s="125"/>
      <c r="B6" s="161" t="s">
        <v>1451</v>
      </c>
      <c r="C6" s="125"/>
      <c r="D6" s="125"/>
    </row>
    <row r="7" spans="1:4" ht="15.75" x14ac:dyDescent="0.25">
      <c r="A7" s="125"/>
      <c r="B7" s="161" t="s">
        <v>1452</v>
      </c>
      <c r="C7" s="125"/>
      <c r="D7" s="125"/>
    </row>
    <row r="8" spans="1:4" ht="15.75" x14ac:dyDescent="0.25">
      <c r="A8" s="125"/>
      <c r="B8" s="161" t="s">
        <v>1453</v>
      </c>
      <c r="C8" s="125"/>
      <c r="D8" s="125"/>
    </row>
    <row r="9" spans="1:4" ht="48.75" customHeight="1" x14ac:dyDescent="0.25">
      <c r="A9" s="125"/>
      <c r="B9" s="162" t="s">
        <v>1343</v>
      </c>
      <c r="C9" s="125"/>
      <c r="D9" s="125"/>
    </row>
    <row r="10" spans="1:4" ht="39" customHeight="1" x14ac:dyDescent="0.25">
      <c r="A10" s="125"/>
      <c r="B10" s="163" t="s">
        <v>1486</v>
      </c>
      <c r="C10" s="125"/>
      <c r="D10" s="125"/>
    </row>
    <row r="11" spans="1:4" ht="39" customHeight="1" x14ac:dyDescent="0.25">
      <c r="A11" s="125"/>
      <c r="B11" s="159" t="s">
        <v>1362</v>
      </c>
      <c r="C11" s="125"/>
      <c r="D11" s="125"/>
    </row>
    <row r="12" spans="1:4" ht="51" customHeight="1" x14ac:dyDescent="0.25">
      <c r="A12" s="125"/>
      <c r="B12" s="164"/>
      <c r="C12" s="125"/>
      <c r="D12" s="125"/>
    </row>
    <row r="17" spans="3:3" x14ac:dyDescent="0.25">
      <c r="C17" s="10"/>
    </row>
    <row r="18" spans="3:3" x14ac:dyDescent="0.25">
      <c r="C18" s="10"/>
    </row>
    <row r="19" spans="3:3" x14ac:dyDescent="0.25">
      <c r="C19" s="10"/>
    </row>
    <row r="20" spans="3:3" x14ac:dyDescent="0.25">
      <c r="C20" s="10"/>
    </row>
    <row r="24" spans="3:3" x14ac:dyDescent="0.25">
      <c r="C24" s="10"/>
    </row>
    <row r="25" spans="3:3" x14ac:dyDescent="0.25">
      <c r="C25" s="10"/>
    </row>
    <row r="26" spans="3:3" x14ac:dyDescent="0.25">
      <c r="C26" s="10"/>
    </row>
    <row r="27" spans="3:3" x14ac:dyDescent="0.25">
      <c r="C27" s="10"/>
    </row>
    <row r="28" spans="3:3" x14ac:dyDescent="0.25">
      <c r="C28" s="10"/>
    </row>
    <row r="29" spans="3:3" x14ac:dyDescent="0.25">
      <c r="C29" s="10"/>
    </row>
    <row r="30" spans="3:3" x14ac:dyDescent="0.25">
      <c r="C30" s="10"/>
    </row>
    <row r="33" spans="3:3" x14ac:dyDescent="0.25">
      <c r="C33" s="10"/>
    </row>
    <row r="34" spans="3:3" x14ac:dyDescent="0.25">
      <c r="C34" s="10"/>
    </row>
    <row r="35" spans="3:3" x14ac:dyDescent="0.25">
      <c r="C35" s="10"/>
    </row>
    <row r="36" spans="3:3" x14ac:dyDescent="0.25">
      <c r="C36" s="10"/>
    </row>
    <row r="37" spans="3:3" x14ac:dyDescent="0.25">
      <c r="C37" s="10"/>
    </row>
  </sheetData>
  <pageMargins left="0.7" right="0.7" top="0.75" bottom="0.75" header="0.3" footer="0.3"/>
  <pageSetup paperSize="9"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M38"/>
  <sheetViews>
    <sheetView zoomScale="90" zoomScaleNormal="90" workbookViewId="0">
      <selection activeCell="AB29" sqref="AB29"/>
    </sheetView>
  </sheetViews>
  <sheetFormatPr defaultRowHeight="15" x14ac:dyDescent="0.25"/>
  <sheetData>
    <row r="2" spans="10:39" x14ac:dyDescent="0.25">
      <c r="L2" t="s">
        <v>29</v>
      </c>
      <c r="AI2" t="s">
        <v>636</v>
      </c>
    </row>
    <row r="3" spans="10:39" x14ac:dyDescent="0.25">
      <c r="L3" t="s">
        <v>44</v>
      </c>
      <c r="T3" t="s">
        <v>64</v>
      </c>
      <c r="U3">
        <f>862/59</f>
        <v>14.610169491525424</v>
      </c>
      <c r="Y3" t="s">
        <v>67</v>
      </c>
      <c r="AA3" t="s">
        <v>68</v>
      </c>
      <c r="AB3" t="s">
        <v>69</v>
      </c>
      <c r="AC3" t="s">
        <v>70</v>
      </c>
      <c r="AD3" t="s">
        <v>71</v>
      </c>
      <c r="AF3" t="s">
        <v>630</v>
      </c>
      <c r="AG3" t="s">
        <v>338</v>
      </c>
      <c r="AH3" t="s">
        <v>631</v>
      </c>
      <c r="AI3" t="s">
        <v>632</v>
      </c>
      <c r="AJ3" t="s">
        <v>634</v>
      </c>
      <c r="AK3" t="s">
        <v>633</v>
      </c>
    </row>
    <row r="4" spans="10:39" x14ac:dyDescent="0.25">
      <c r="J4">
        <f>SUM(J5:J6)/5.2</f>
        <v>23.565088757396449</v>
      </c>
      <c r="N4" t="s">
        <v>56</v>
      </c>
      <c r="O4" t="s">
        <v>55</v>
      </c>
      <c r="P4" t="s">
        <v>57</v>
      </c>
      <c r="Q4" t="s">
        <v>58</v>
      </c>
      <c r="S4" t="s">
        <v>62</v>
      </c>
      <c r="T4" t="s">
        <v>63</v>
      </c>
      <c r="X4" t="s">
        <v>55</v>
      </c>
      <c r="Y4" t="s">
        <v>66</v>
      </c>
      <c r="AB4" t="s">
        <v>55</v>
      </c>
      <c r="AF4">
        <v>1500</v>
      </c>
      <c r="AG4">
        <v>640</v>
      </c>
      <c r="AH4">
        <v>640</v>
      </c>
      <c r="AI4">
        <v>196</v>
      </c>
      <c r="AJ4">
        <v>516</v>
      </c>
      <c r="AK4">
        <v>492</v>
      </c>
      <c r="AL4" t="s">
        <v>635</v>
      </c>
      <c r="AM4">
        <f>AG4+AH4+AI4+AJ4-AK4</f>
        <v>1500</v>
      </c>
    </row>
    <row r="5" spans="10:39" x14ac:dyDescent="0.25">
      <c r="J5">
        <f>5*K5</f>
        <v>62.250000000000007</v>
      </c>
      <c r="K5">
        <f>M5/0.2</f>
        <v>12.450000000000001</v>
      </c>
      <c r="L5" s="2" t="s">
        <v>30</v>
      </c>
      <c r="M5">
        <v>2.4900000000000002</v>
      </c>
      <c r="R5" t="s">
        <v>61</v>
      </c>
      <c r="T5" s="3">
        <f>(862*U5/100)/26</f>
        <v>4.3100000000000005</v>
      </c>
      <c r="U5" s="3">
        <v>13</v>
      </c>
      <c r="Y5">
        <v>3</v>
      </c>
      <c r="Z5" s="2" t="s">
        <v>91</v>
      </c>
      <c r="AC5" t="s">
        <v>109</v>
      </c>
      <c r="AD5">
        <v>5</v>
      </c>
    </row>
    <row r="6" spans="10:39" x14ac:dyDescent="0.25">
      <c r="J6">
        <f>K6*15</f>
        <v>60.28846153846154</v>
      </c>
      <c r="K6">
        <f>M6/0.52</f>
        <v>4.0192307692307692</v>
      </c>
      <c r="L6" s="2" t="s">
        <v>31</v>
      </c>
      <c r="M6">
        <v>2.09</v>
      </c>
      <c r="T6" s="3">
        <f t="shared" ref="T6:T31" si="0">(862*U6/100)/26</f>
        <v>2.9838461538461538</v>
      </c>
      <c r="U6">
        <v>9</v>
      </c>
      <c r="Y6">
        <v>1.1399999999999999</v>
      </c>
      <c r="Z6" s="2" t="s">
        <v>89</v>
      </c>
      <c r="AG6">
        <v>700</v>
      </c>
      <c r="AH6">
        <v>140</v>
      </c>
      <c r="AI6">
        <v>160</v>
      </c>
      <c r="AJ6">
        <v>600</v>
      </c>
      <c r="AK6">
        <v>134</v>
      </c>
      <c r="AL6">
        <f>AJ6-AK6</f>
        <v>466</v>
      </c>
      <c r="AM6">
        <f>AG6+AH6+AI6</f>
        <v>1000</v>
      </c>
    </row>
    <row r="7" spans="10:39" x14ac:dyDescent="0.25">
      <c r="L7" s="2" t="s">
        <v>32</v>
      </c>
      <c r="M7">
        <v>0.53</v>
      </c>
      <c r="T7" s="3">
        <f t="shared" si="0"/>
        <v>0</v>
      </c>
      <c r="Y7">
        <v>1.54</v>
      </c>
      <c r="Z7" s="2" t="s">
        <v>93</v>
      </c>
      <c r="AG7">
        <f>AG6/AG4</f>
        <v>1.09375</v>
      </c>
      <c r="AH7">
        <f>AH6/AH4</f>
        <v>0.21875</v>
      </c>
      <c r="AI7">
        <f>AI6/AI4</f>
        <v>0.81632653061224492</v>
      </c>
      <c r="AJ7">
        <f>AJ6/AJ4</f>
        <v>1.1627906976744187</v>
      </c>
      <c r="AK7">
        <f>AK6/AK4</f>
        <v>0.27235772357723576</v>
      </c>
    </row>
    <row r="8" spans="10:39" x14ac:dyDescent="0.25">
      <c r="K8" t="s">
        <v>47</v>
      </c>
      <c r="L8" s="2" t="s">
        <v>33</v>
      </c>
      <c r="M8">
        <v>1.3</v>
      </c>
      <c r="T8" s="3">
        <f t="shared" si="0"/>
        <v>0</v>
      </c>
      <c r="Z8" s="2"/>
      <c r="AM8">
        <f>620+600-135</f>
        <v>1085</v>
      </c>
    </row>
    <row r="9" spans="10:39" x14ac:dyDescent="0.25">
      <c r="K9">
        <f>L9/28.4*100</f>
        <v>17.992957746478876</v>
      </c>
      <c r="L9" s="2">
        <f>SUM(M5:M7)</f>
        <v>5.1100000000000003</v>
      </c>
      <c r="N9">
        <f>SUM(M5:M8)</f>
        <v>6.41</v>
      </c>
      <c r="O9" s="57">
        <f>N9/28.42*100</f>
        <v>22.55453905700211</v>
      </c>
      <c r="P9">
        <v>8.17</v>
      </c>
      <c r="Q9" s="58">
        <f>P9/33.16*100</f>
        <v>24.638118214716528</v>
      </c>
      <c r="R9" s="50">
        <v>29.7</v>
      </c>
      <c r="S9" s="50">
        <v>27</v>
      </c>
      <c r="V9" s="3">
        <f>SUM(T5:T8)</f>
        <v>7.2938461538461539</v>
      </c>
      <c r="W9" s="3">
        <f>V9*100/36</f>
        <v>20.260683760683762</v>
      </c>
      <c r="X9" s="50">
        <v>16</v>
      </c>
      <c r="Z9" s="2"/>
      <c r="AA9" s="59">
        <f>SUM(Y5:Y7)</f>
        <v>5.68</v>
      </c>
      <c r="AB9" s="59">
        <f>AA9*100/36</f>
        <v>15.777777777777779</v>
      </c>
      <c r="AC9" t="s">
        <v>607</v>
      </c>
    </row>
    <row r="10" spans="10:39" x14ac:dyDescent="0.25">
      <c r="L10" s="2" t="s">
        <v>34</v>
      </c>
      <c r="M10">
        <v>2.38</v>
      </c>
      <c r="O10" s="3"/>
      <c r="Q10" s="4"/>
      <c r="T10" s="3">
        <v>3.1</v>
      </c>
      <c r="U10">
        <v>0.93</v>
      </c>
      <c r="W10" s="3">
        <f t="shared" ref="W10:W34" si="1">V10*100/36</f>
        <v>0</v>
      </c>
      <c r="Y10">
        <v>3.3</v>
      </c>
      <c r="Z10" s="2" t="s">
        <v>92</v>
      </c>
      <c r="AB10">
        <f t="shared" ref="AB10:AB34" si="2">AA10*100/36</f>
        <v>0</v>
      </c>
      <c r="AD10" t="s">
        <v>608</v>
      </c>
      <c r="AF10">
        <f>5680/1150</f>
        <v>4.9391304347826086</v>
      </c>
    </row>
    <row r="11" spans="10:39" x14ac:dyDescent="0.25">
      <c r="L11" s="2" t="s">
        <v>35</v>
      </c>
      <c r="M11">
        <v>1.3</v>
      </c>
      <c r="O11" s="3"/>
      <c r="Q11" s="4"/>
      <c r="T11" s="3">
        <f t="shared" si="0"/>
        <v>0</v>
      </c>
      <c r="W11" s="3">
        <f t="shared" si="1"/>
        <v>0</v>
      </c>
      <c r="Y11">
        <v>1.66</v>
      </c>
      <c r="Z11" s="2" t="s">
        <v>72</v>
      </c>
      <c r="AB11">
        <f t="shared" si="2"/>
        <v>0</v>
      </c>
      <c r="AD11" t="s">
        <v>609</v>
      </c>
    </row>
    <row r="12" spans="10:39" x14ac:dyDescent="0.25">
      <c r="L12" s="2" t="s">
        <v>38</v>
      </c>
      <c r="M12">
        <v>0.4</v>
      </c>
      <c r="O12" s="3"/>
      <c r="Q12" s="4"/>
      <c r="T12" s="3">
        <f t="shared" si="0"/>
        <v>1.6576923076923078</v>
      </c>
      <c r="U12">
        <v>5</v>
      </c>
      <c r="W12" s="3">
        <f t="shared" si="1"/>
        <v>0</v>
      </c>
      <c r="Y12">
        <v>0.99</v>
      </c>
      <c r="Z12" s="2" t="s">
        <v>73</v>
      </c>
      <c r="AB12">
        <f t="shared" si="2"/>
        <v>0</v>
      </c>
    </row>
    <row r="13" spans="10:39" x14ac:dyDescent="0.25">
      <c r="L13" s="2" t="s">
        <v>36</v>
      </c>
      <c r="M13">
        <v>0.89</v>
      </c>
      <c r="O13" s="3"/>
      <c r="Q13" s="4"/>
      <c r="T13" s="3">
        <f t="shared" si="0"/>
        <v>0.99461538461538457</v>
      </c>
      <c r="U13">
        <v>3</v>
      </c>
      <c r="W13" s="3">
        <f t="shared" si="1"/>
        <v>0</v>
      </c>
      <c r="Y13">
        <v>1.86</v>
      </c>
      <c r="Z13" s="2" t="s">
        <v>74</v>
      </c>
      <c r="AB13">
        <f t="shared" si="2"/>
        <v>0</v>
      </c>
    </row>
    <row r="14" spans="10:39" x14ac:dyDescent="0.25">
      <c r="L14" s="2" t="s">
        <v>37</v>
      </c>
      <c r="M14">
        <v>1.1299999999999999</v>
      </c>
      <c r="O14" s="3"/>
      <c r="Q14" s="4"/>
      <c r="T14" s="3">
        <f t="shared" si="0"/>
        <v>2.652307692307692</v>
      </c>
      <c r="U14">
        <v>8</v>
      </c>
      <c r="W14" s="3">
        <f t="shared" si="1"/>
        <v>0</v>
      </c>
      <c r="Z14" s="2"/>
      <c r="AB14">
        <f t="shared" si="2"/>
        <v>0</v>
      </c>
      <c r="AF14" t="s">
        <v>114</v>
      </c>
      <c r="AM14">
        <f>15.9*0.217</f>
        <v>3.4502999999999999</v>
      </c>
    </row>
    <row r="15" spans="10:39" x14ac:dyDescent="0.25">
      <c r="K15" t="s">
        <v>48</v>
      </c>
      <c r="L15" s="2"/>
      <c r="N15">
        <f>SUM(M10:M14)</f>
        <v>6.1</v>
      </c>
      <c r="O15" s="57">
        <f>N15/28.42*100</f>
        <v>21.463757916959885</v>
      </c>
      <c r="P15">
        <v>8.39</v>
      </c>
      <c r="Q15" s="58">
        <f>P15/33.16*100</f>
        <v>25.301568154402897</v>
      </c>
      <c r="R15" s="50">
        <v>23.7</v>
      </c>
      <c r="S15" s="50">
        <v>21.5</v>
      </c>
      <c r="T15" s="3">
        <f>SUM(T10:T14)</f>
        <v>8.4046153846153846</v>
      </c>
      <c r="V15">
        <v>8.4</v>
      </c>
      <c r="W15" s="3">
        <f t="shared" si="1"/>
        <v>23.333333333333332</v>
      </c>
      <c r="X15" s="50">
        <v>21.7</v>
      </c>
      <c r="Z15" s="2"/>
      <c r="AA15">
        <f>SUM(Y10:Y13)</f>
        <v>7.8100000000000005</v>
      </c>
      <c r="AB15">
        <f t="shared" si="2"/>
        <v>21.694444444444443</v>
      </c>
      <c r="AD15" t="s">
        <v>110</v>
      </c>
      <c r="AE15">
        <v>5.17</v>
      </c>
      <c r="AF15">
        <v>-0.1</v>
      </c>
    </row>
    <row r="16" spans="10:39" x14ac:dyDescent="0.25">
      <c r="L16" s="2" t="s">
        <v>39</v>
      </c>
      <c r="M16">
        <v>1.53</v>
      </c>
      <c r="O16" s="3"/>
      <c r="Q16" s="4"/>
      <c r="T16" s="3">
        <f t="shared" si="0"/>
        <v>0</v>
      </c>
      <c r="W16" s="3">
        <f t="shared" si="1"/>
        <v>0</v>
      </c>
      <c r="Y16">
        <v>3.74</v>
      </c>
      <c r="Z16" s="2" t="s">
        <v>75</v>
      </c>
      <c r="AB16">
        <f t="shared" si="2"/>
        <v>0</v>
      </c>
      <c r="AD16" t="s">
        <v>111</v>
      </c>
      <c r="AE16">
        <v>4.12</v>
      </c>
      <c r="AF16">
        <v>0.7</v>
      </c>
    </row>
    <row r="17" spans="1:39" x14ac:dyDescent="0.25">
      <c r="L17" s="2"/>
      <c r="O17" s="3"/>
      <c r="Q17" s="4"/>
      <c r="T17" s="3"/>
      <c r="W17" s="3">
        <f t="shared" si="1"/>
        <v>0</v>
      </c>
      <c r="Y17">
        <v>2.41</v>
      </c>
      <c r="Z17" s="2" t="s">
        <v>76</v>
      </c>
      <c r="AB17">
        <f t="shared" si="2"/>
        <v>0</v>
      </c>
      <c r="AD17" t="s">
        <v>112</v>
      </c>
      <c r="AE17">
        <v>6.3</v>
      </c>
      <c r="AF17">
        <v>0.6</v>
      </c>
    </row>
    <row r="18" spans="1:39" x14ac:dyDescent="0.25">
      <c r="L18" s="2"/>
      <c r="O18" s="3"/>
      <c r="Q18" s="4"/>
      <c r="T18" s="3"/>
      <c r="W18" s="3">
        <f t="shared" si="1"/>
        <v>0</v>
      </c>
      <c r="Y18">
        <v>0.76</v>
      </c>
      <c r="Z18" s="2" t="s">
        <v>88</v>
      </c>
      <c r="AB18">
        <f t="shared" si="2"/>
        <v>0</v>
      </c>
      <c r="AD18" t="s">
        <v>39</v>
      </c>
      <c r="AE18">
        <v>6.9</v>
      </c>
      <c r="AF18">
        <v>0.2</v>
      </c>
    </row>
    <row r="19" spans="1:39" x14ac:dyDescent="0.25">
      <c r="K19" t="s">
        <v>49</v>
      </c>
      <c r="N19">
        <v>4.09</v>
      </c>
      <c r="O19" s="57">
        <f>N19/28.42*100</f>
        <v>14.391273750879661</v>
      </c>
      <c r="P19">
        <v>4.54</v>
      </c>
      <c r="Q19" s="58">
        <f>P19/33.16*100</f>
        <v>13.691194209891435</v>
      </c>
      <c r="R19" s="50">
        <v>9.8000000000000007</v>
      </c>
      <c r="S19" s="50">
        <v>18</v>
      </c>
      <c r="T19" s="3">
        <f>(862*U20/100)/26</f>
        <v>0</v>
      </c>
      <c r="V19">
        <v>6.9</v>
      </c>
      <c r="W19" s="3">
        <f t="shared" si="1"/>
        <v>19.166666666666668</v>
      </c>
      <c r="X19" s="50">
        <v>19</v>
      </c>
      <c r="Z19" s="2"/>
      <c r="AA19">
        <v>6.92</v>
      </c>
      <c r="AB19">
        <f t="shared" si="2"/>
        <v>19.222222222222221</v>
      </c>
      <c r="AD19" t="s">
        <v>113</v>
      </c>
      <c r="AE19">
        <v>7.81</v>
      </c>
      <c r="AF19">
        <v>0.9</v>
      </c>
    </row>
    <row r="20" spans="1:39" x14ac:dyDescent="0.25">
      <c r="B20" t="s">
        <v>14</v>
      </c>
      <c r="D20">
        <v>2.4</v>
      </c>
      <c r="G20" t="s">
        <v>28</v>
      </c>
      <c r="J20">
        <f>G21*63</f>
        <v>1020.5999999999999</v>
      </c>
      <c r="L20" s="2" t="s">
        <v>77</v>
      </c>
      <c r="W20" s="3">
        <f t="shared" si="1"/>
        <v>0</v>
      </c>
      <c r="Y20">
        <v>1.99</v>
      </c>
      <c r="Z20" s="2" t="s">
        <v>78</v>
      </c>
      <c r="AB20">
        <f t="shared" si="2"/>
        <v>0</v>
      </c>
      <c r="AD20" t="s">
        <v>109</v>
      </c>
      <c r="AE20">
        <v>5.68</v>
      </c>
      <c r="AF20">
        <v>0.3</v>
      </c>
    </row>
    <row r="21" spans="1:39" x14ac:dyDescent="0.25">
      <c r="B21" t="s">
        <v>15</v>
      </c>
      <c r="D21">
        <v>15</v>
      </c>
      <c r="F21">
        <f>-1*EXP(-6*(24^2))+0.3365*24+8.1</f>
        <v>16.176000000000002</v>
      </c>
      <c r="G21">
        <v>16.2</v>
      </c>
      <c r="H21" t="s">
        <v>25</v>
      </c>
      <c r="L21" s="2" t="s">
        <v>41</v>
      </c>
      <c r="M21">
        <v>0.66</v>
      </c>
      <c r="O21" s="3"/>
      <c r="Q21" s="4"/>
      <c r="T21" s="3">
        <f t="shared" si="0"/>
        <v>0.66307692307692301</v>
      </c>
      <c r="U21">
        <v>2</v>
      </c>
      <c r="W21" s="3">
        <f t="shared" si="1"/>
        <v>0</v>
      </c>
      <c r="Y21">
        <v>0.66</v>
      </c>
      <c r="Z21" s="2" t="s">
        <v>79</v>
      </c>
      <c r="AB21">
        <f t="shared" si="2"/>
        <v>0</v>
      </c>
    </row>
    <row r="22" spans="1:39" x14ac:dyDescent="0.25">
      <c r="B22" t="s">
        <v>16</v>
      </c>
      <c r="D22">
        <v>36</v>
      </c>
      <c r="F22">
        <f>-1*EXP(-6*(7^2))+0.3365*7+8.1</f>
        <v>10.455500000000001</v>
      </c>
      <c r="G22">
        <v>10.5</v>
      </c>
      <c r="H22" t="s">
        <v>26</v>
      </c>
      <c r="L22" s="2" t="s">
        <v>42</v>
      </c>
      <c r="M22">
        <v>0.67</v>
      </c>
      <c r="O22" s="3"/>
      <c r="Q22" s="4"/>
      <c r="T22" s="3">
        <f t="shared" si="0"/>
        <v>1.326153846153846</v>
      </c>
      <c r="U22">
        <v>4</v>
      </c>
      <c r="W22" s="3">
        <f t="shared" si="1"/>
        <v>0</v>
      </c>
      <c r="Y22">
        <v>1.33</v>
      </c>
      <c r="Z22" s="2" t="s">
        <v>80</v>
      </c>
      <c r="AB22">
        <f t="shared" si="2"/>
        <v>0</v>
      </c>
      <c r="AE22">
        <f>SUM(AE15:AE21)</f>
        <v>35.980000000000004</v>
      </c>
    </row>
    <row r="23" spans="1:39" x14ac:dyDescent="0.25">
      <c r="B23" t="s">
        <v>17</v>
      </c>
      <c r="D23">
        <v>24</v>
      </c>
      <c r="F23">
        <f>-1*EXP(-6*(63^2))+0.3365*63+8.1</f>
        <v>29.299500000000002</v>
      </c>
      <c r="G23">
        <v>29.3</v>
      </c>
      <c r="H23" t="s">
        <v>27</v>
      </c>
      <c r="L23" s="2" t="s">
        <v>45</v>
      </c>
      <c r="M23">
        <v>1.26</v>
      </c>
      <c r="O23" s="3"/>
      <c r="Q23" s="4"/>
      <c r="T23" s="3">
        <f t="shared" si="0"/>
        <v>2.3207692307692307</v>
      </c>
      <c r="U23">
        <v>7</v>
      </c>
      <c r="W23" s="3">
        <f t="shared" si="1"/>
        <v>0</v>
      </c>
      <c r="Y23">
        <v>2.3199999999999998</v>
      </c>
      <c r="Z23" s="2" t="s">
        <v>86</v>
      </c>
      <c r="AB23">
        <f t="shared" si="2"/>
        <v>0</v>
      </c>
    </row>
    <row r="24" spans="1:39" x14ac:dyDescent="0.25">
      <c r="B24" t="s">
        <v>18</v>
      </c>
      <c r="D24">
        <v>30</v>
      </c>
      <c r="K24" t="s">
        <v>50</v>
      </c>
      <c r="N24">
        <f>SUM(M21:M23)</f>
        <v>2.59</v>
      </c>
      <c r="O24" s="57">
        <f>N24/28.42*100</f>
        <v>9.1133004926108363</v>
      </c>
      <c r="P24">
        <v>4.07</v>
      </c>
      <c r="Q24" s="58">
        <f>P24/33.16*100</f>
        <v>12.27382388419783</v>
      </c>
      <c r="R24" s="50">
        <v>13</v>
      </c>
      <c r="S24" s="50">
        <v>8.8000000000000007</v>
      </c>
      <c r="T24" s="3">
        <f t="shared" si="0"/>
        <v>0</v>
      </c>
      <c r="V24" s="3">
        <f>SUM(T21:T23)</f>
        <v>4.3099999999999996</v>
      </c>
      <c r="W24" s="3">
        <f t="shared" si="1"/>
        <v>11.972222222222221</v>
      </c>
      <c r="X24" s="57">
        <f>AA24*100/36</f>
        <v>17.5</v>
      </c>
      <c r="Z24" s="2"/>
      <c r="AA24">
        <f>SUM(Y20:Y23)</f>
        <v>6.3</v>
      </c>
      <c r="AB24">
        <f t="shared" si="2"/>
        <v>17.5</v>
      </c>
    </row>
    <row r="25" spans="1:39" x14ac:dyDescent="0.25">
      <c r="B25" t="s">
        <v>19</v>
      </c>
      <c r="L25" s="2" t="s">
        <v>40</v>
      </c>
      <c r="M25">
        <v>0.77</v>
      </c>
      <c r="O25" s="3"/>
      <c r="Q25" s="4"/>
      <c r="T25" s="3">
        <f t="shared" si="0"/>
        <v>0</v>
      </c>
      <c r="W25" s="3">
        <f t="shared" si="1"/>
        <v>0</v>
      </c>
      <c r="Y25">
        <v>0.77</v>
      </c>
      <c r="Z25" s="2" t="s">
        <v>82</v>
      </c>
      <c r="AB25">
        <f t="shared" si="2"/>
        <v>0</v>
      </c>
    </row>
    <row r="26" spans="1:39" x14ac:dyDescent="0.25">
      <c r="A26" t="s">
        <v>20</v>
      </c>
      <c r="D26">
        <v>58</v>
      </c>
      <c r="E26" t="s">
        <v>21</v>
      </c>
      <c r="L26" s="2" t="s">
        <v>43</v>
      </c>
      <c r="M26">
        <v>0.38</v>
      </c>
      <c r="O26" s="3"/>
      <c r="Q26" s="4"/>
      <c r="T26" s="3">
        <f t="shared" si="0"/>
        <v>0.66307692307692301</v>
      </c>
      <c r="U26">
        <v>2</v>
      </c>
      <c r="W26" s="3">
        <f t="shared" si="1"/>
        <v>0</v>
      </c>
      <c r="Y26">
        <v>0.6</v>
      </c>
      <c r="Z26" s="2" t="s">
        <v>84</v>
      </c>
      <c r="AB26">
        <f t="shared" si="2"/>
        <v>0</v>
      </c>
      <c r="AD26">
        <v>0.38</v>
      </c>
      <c r="AE26" t="s">
        <v>83</v>
      </c>
      <c r="AM26" t="s">
        <v>1112</v>
      </c>
    </row>
    <row r="27" spans="1:39" x14ac:dyDescent="0.25">
      <c r="B27" t="s">
        <v>22</v>
      </c>
      <c r="D27">
        <f>D26*0.6</f>
        <v>34.799999999999997</v>
      </c>
      <c r="L27" s="2" t="s">
        <v>60</v>
      </c>
      <c r="M27">
        <v>0.56000000000000005</v>
      </c>
      <c r="O27" s="3"/>
      <c r="T27" s="3">
        <f t="shared" si="0"/>
        <v>0.66307692307692301</v>
      </c>
      <c r="U27">
        <v>2</v>
      </c>
      <c r="W27" s="3">
        <f t="shared" si="1"/>
        <v>0</v>
      </c>
      <c r="Y27">
        <v>1.1100000000000001</v>
      </c>
      <c r="Z27" s="2" t="s">
        <v>81</v>
      </c>
      <c r="AB27">
        <f t="shared" si="2"/>
        <v>0</v>
      </c>
    </row>
    <row r="28" spans="1:39" x14ac:dyDescent="0.25">
      <c r="B28" t="s">
        <v>23</v>
      </c>
      <c r="D28">
        <f>D22/D26</f>
        <v>0.62068965517241381</v>
      </c>
      <c r="L28" s="2" t="s">
        <v>46</v>
      </c>
      <c r="M28">
        <v>1.26</v>
      </c>
      <c r="O28" s="3"/>
      <c r="Q28" s="4"/>
      <c r="T28" s="3">
        <f t="shared" si="0"/>
        <v>2.652307692307692</v>
      </c>
      <c r="U28">
        <v>8</v>
      </c>
      <c r="W28" s="3">
        <f t="shared" si="1"/>
        <v>0</v>
      </c>
      <c r="Y28">
        <v>1.64</v>
      </c>
      <c r="Z28" s="2" t="s">
        <v>87</v>
      </c>
      <c r="AB28">
        <f t="shared" si="2"/>
        <v>0</v>
      </c>
    </row>
    <row r="29" spans="1:39" x14ac:dyDescent="0.25">
      <c r="B29" t="s">
        <v>24</v>
      </c>
      <c r="D29">
        <f>D22/D23</f>
        <v>1.5</v>
      </c>
      <c r="K29" t="s">
        <v>51</v>
      </c>
      <c r="N29">
        <f>SUM(M25:M28)</f>
        <v>2.9699999999999998</v>
      </c>
      <c r="O29" s="57">
        <f>N29/28.42*100</f>
        <v>10.450387051372271</v>
      </c>
      <c r="P29">
        <v>3.73</v>
      </c>
      <c r="Q29" s="58">
        <f>P29/33.16*100</f>
        <v>11.248492159227986</v>
      </c>
      <c r="R29" s="50">
        <v>9.6999999999999993</v>
      </c>
      <c r="S29" s="50">
        <v>11.8</v>
      </c>
      <c r="T29" s="3">
        <f t="shared" si="0"/>
        <v>0</v>
      </c>
      <c r="V29" s="3">
        <f>SUM(T26:T28)</f>
        <v>3.9784615384615378</v>
      </c>
      <c r="W29" s="3">
        <f t="shared" si="1"/>
        <v>11.051282051282051</v>
      </c>
      <c r="X29" s="57">
        <f>AA29*100/36</f>
        <v>11.444444444444445</v>
      </c>
      <c r="Z29" s="2"/>
      <c r="AA29">
        <f>SUM(Y25:Y28)</f>
        <v>4.12</v>
      </c>
      <c r="AB29">
        <f t="shared" si="2"/>
        <v>11.444444444444445</v>
      </c>
    </row>
    <row r="30" spans="1:39" x14ac:dyDescent="0.25">
      <c r="O30" s="3"/>
      <c r="Q30" s="4"/>
      <c r="T30" s="3">
        <f t="shared" si="0"/>
        <v>0</v>
      </c>
      <c r="W30" s="3">
        <f t="shared" si="1"/>
        <v>0</v>
      </c>
      <c r="Z30" s="2"/>
      <c r="AB30">
        <f t="shared" si="2"/>
        <v>0</v>
      </c>
      <c r="AI30" t="s">
        <v>991</v>
      </c>
      <c r="AK30" t="e">
        <f>DDM</f>
        <v>#REF!</v>
      </c>
    </row>
    <row r="31" spans="1:39" x14ac:dyDescent="0.25">
      <c r="L31" s="2" t="s">
        <v>53</v>
      </c>
      <c r="N31">
        <f>SUM(N9:N30)</f>
        <v>22.16</v>
      </c>
      <c r="O31" s="3">
        <f>N31/28.42*100</f>
        <v>77.973258268824765</v>
      </c>
      <c r="P31">
        <f>SUM(P9:P29)</f>
        <v>28.900000000000002</v>
      </c>
      <c r="Q31" s="4">
        <f>P31/33.16*100</f>
        <v>87.153196622436695</v>
      </c>
      <c r="T31" s="3">
        <f t="shared" si="0"/>
        <v>0</v>
      </c>
      <c r="W31" s="3">
        <f t="shared" si="1"/>
        <v>0</v>
      </c>
      <c r="Z31" s="2"/>
      <c r="AB31">
        <f t="shared" si="2"/>
        <v>0</v>
      </c>
      <c r="AG31" t="s">
        <v>991</v>
      </c>
      <c r="AI31" t="s">
        <v>992</v>
      </c>
    </row>
    <row r="32" spans="1:39" x14ac:dyDescent="0.25">
      <c r="L32" s="2" t="s">
        <v>59</v>
      </c>
      <c r="N32">
        <v>2</v>
      </c>
      <c r="O32" s="3">
        <f>N32/28.42*100</f>
        <v>7.0372976776917655</v>
      </c>
      <c r="Q32" s="4"/>
      <c r="S32">
        <f>(87+20)/26</f>
        <v>4.115384615384615</v>
      </c>
      <c r="T32" s="3"/>
      <c r="U32">
        <v>13</v>
      </c>
      <c r="W32" s="3">
        <f t="shared" si="1"/>
        <v>0</v>
      </c>
      <c r="X32" s="3"/>
      <c r="Y32">
        <v>5.17</v>
      </c>
      <c r="Z32" s="2" t="s">
        <v>85</v>
      </c>
      <c r="AB32">
        <f t="shared" si="2"/>
        <v>0</v>
      </c>
      <c r="AI32" t="s">
        <v>423</v>
      </c>
    </row>
    <row r="33" spans="12:37" x14ac:dyDescent="0.25">
      <c r="L33" s="2" t="s">
        <v>52</v>
      </c>
      <c r="N33">
        <v>4.26</v>
      </c>
      <c r="O33" s="57">
        <f>N33/28.42*100</f>
        <v>14.989444053483462</v>
      </c>
      <c r="P33">
        <v>4.26</v>
      </c>
      <c r="Q33" s="58">
        <f>P33/33.16*100</f>
        <v>12.846803377563329</v>
      </c>
      <c r="R33" s="50">
        <v>13</v>
      </c>
      <c r="S33" s="50">
        <v>11.8</v>
      </c>
      <c r="T33" s="3">
        <f>(862*U32/100)/26</f>
        <v>4.3100000000000005</v>
      </c>
      <c r="V33">
        <v>4.3099999999999996</v>
      </c>
      <c r="W33" s="3">
        <f t="shared" si="1"/>
        <v>11.972222222222221</v>
      </c>
      <c r="X33" s="57">
        <f>AA33*100/36</f>
        <v>14.361111111111111</v>
      </c>
      <c r="AA33">
        <v>5.17</v>
      </c>
      <c r="AB33">
        <f t="shared" si="2"/>
        <v>14.361111111111111</v>
      </c>
      <c r="AI33" t="s">
        <v>993</v>
      </c>
      <c r="AK33" t="s">
        <v>423</v>
      </c>
    </row>
    <row r="34" spans="12:37" x14ac:dyDescent="0.25">
      <c r="L34" t="s">
        <v>54</v>
      </c>
      <c r="N34">
        <f>SUM(N31:N33)</f>
        <v>28.42</v>
      </c>
      <c r="O34" s="3">
        <f>N34/28.42*100</f>
        <v>100</v>
      </c>
      <c r="P34">
        <f>SUM(P31:P33)</f>
        <v>33.160000000000004</v>
      </c>
      <c r="Q34" s="4">
        <f>P34/33.16*100</f>
        <v>100.00000000000003</v>
      </c>
      <c r="R34">
        <f>SUM(R6:R33)</f>
        <v>98.9</v>
      </c>
      <c r="S34">
        <f>SUM(S9:S33)</f>
        <v>103.0153846153846</v>
      </c>
      <c r="T34" s="3">
        <f>SUM(T5:T33)</f>
        <v>36.701538461538462</v>
      </c>
      <c r="U34">
        <f>SUM(U5:U32)</f>
        <v>76.930000000000007</v>
      </c>
      <c r="V34">
        <f>SUM(V5:V33)</f>
        <v>35.192307692307693</v>
      </c>
      <c r="W34" s="3">
        <f t="shared" si="1"/>
        <v>97.756410256410263</v>
      </c>
      <c r="X34">
        <f>SUM(X5:X33)</f>
        <v>100.00555555555556</v>
      </c>
      <c r="Y34">
        <f>SUM(Y5:Y32)</f>
        <v>35.99</v>
      </c>
      <c r="AA34">
        <f>SUM(AA5:AA33)</f>
        <v>36</v>
      </c>
      <c r="AB34">
        <f t="shared" si="2"/>
        <v>100</v>
      </c>
      <c r="AK34" t="s">
        <v>991</v>
      </c>
    </row>
    <row r="36" spans="12:37" x14ac:dyDescent="0.25">
      <c r="S36" t="s">
        <v>65</v>
      </c>
      <c r="V36">
        <f>(T28+T23)*100/36</f>
        <v>13.814102564102562</v>
      </c>
      <c r="Y36">
        <f>Y34-Y32-Y28-Y23</f>
        <v>26.86</v>
      </c>
      <c r="AA36">
        <f>(AA24+AA29)/2.4</f>
        <v>4.3416666666666668</v>
      </c>
    </row>
    <row r="37" spans="12:37" x14ac:dyDescent="0.25">
      <c r="Y37">
        <f>Y36*26</f>
        <v>698.36</v>
      </c>
      <c r="Z37">
        <f>Y28+Y23</f>
        <v>3.96</v>
      </c>
    </row>
    <row r="38" spans="12:37" x14ac:dyDescent="0.25">
      <c r="Y38">
        <f>Y32*26</f>
        <v>134.41999999999999</v>
      </c>
      <c r="Z38">
        <f>Z37*26</f>
        <v>102.96</v>
      </c>
    </row>
  </sheetData>
  <dataValidations count="2">
    <dataValidation type="list" allowBlank="1" showInputMessage="1" showErrorMessage="1" sqref="AG31 AK34">
      <formula1>$L$4:$L$6</formula1>
    </dataValidation>
    <dataValidation type="list" allowBlank="1" showInputMessage="1" showErrorMessage="1" sqref="AK33">
      <formula1>FLIST</formula1>
    </dataValidation>
  </dataValidations>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40"/>
  <sheetViews>
    <sheetView topLeftCell="C17" workbookViewId="0">
      <selection activeCell="N1" sqref="N1"/>
    </sheetView>
  </sheetViews>
  <sheetFormatPr defaultRowHeight="15" x14ac:dyDescent="0.25"/>
  <cols>
    <col min="2" max="2" width="18.85546875" customWidth="1"/>
    <col min="16" max="16" width="11.85546875" customWidth="1"/>
    <col min="17" max="17" width="14.140625" customWidth="1"/>
  </cols>
  <sheetData>
    <row r="2" spans="2:20" x14ac:dyDescent="0.25">
      <c r="B2" t="s">
        <v>197</v>
      </c>
    </row>
    <row r="3" spans="2:20" x14ac:dyDescent="0.25">
      <c r="B3" t="s">
        <v>198</v>
      </c>
      <c r="P3" t="s">
        <v>283</v>
      </c>
      <c r="S3">
        <f>0.7*EXP(0.1*0)</f>
        <v>0.7</v>
      </c>
    </row>
    <row r="4" spans="2:20" x14ac:dyDescent="0.25">
      <c r="B4" s="2" t="s">
        <v>91</v>
      </c>
      <c r="C4">
        <v>3</v>
      </c>
      <c r="D4" s="3">
        <f>C4/2.4</f>
        <v>1.25</v>
      </c>
      <c r="F4">
        <v>14000</v>
      </c>
      <c r="H4">
        <v>2.8</v>
      </c>
      <c r="I4" t="s">
        <v>285</v>
      </c>
      <c r="P4">
        <v>0.875</v>
      </c>
      <c r="Q4">
        <f>P4/2.4</f>
        <v>0.36458333333333337</v>
      </c>
      <c r="S4">
        <f>0.7*EXP(0.1*1.4)</f>
        <v>0.80519165920005908</v>
      </c>
      <c r="T4">
        <f>0.158*EXP(0.2*1.4)</f>
        <v>0.20905451034931502</v>
      </c>
    </row>
    <row r="5" spans="2:20" x14ac:dyDescent="0.25">
      <c r="B5" s="2" t="s">
        <v>89</v>
      </c>
      <c r="C5">
        <v>1</v>
      </c>
      <c r="D5" s="3">
        <f t="shared" ref="D5:D22" si="0">C5/2.4</f>
        <v>0.41666666666666669</v>
      </c>
      <c r="F5">
        <f>G5/2.4</f>
        <v>0.41666666666666669</v>
      </c>
      <c r="G5">
        <v>1</v>
      </c>
      <c r="H5">
        <v>2.2799999999999998</v>
      </c>
      <c r="I5" t="s">
        <v>286</v>
      </c>
      <c r="P5">
        <v>0.53900000000000003</v>
      </c>
      <c r="Q5">
        <f>P5/2.4</f>
        <v>0.22458333333333336</v>
      </c>
      <c r="S5">
        <f>0.7*EXP(0.1*-5.6)</f>
        <v>0.39984634469417041</v>
      </c>
      <c r="T5">
        <f>0.158*EXP(0.2*0.4)</f>
        <v>0.17115935669264346</v>
      </c>
    </row>
    <row r="6" spans="2:20" x14ac:dyDescent="0.25">
      <c r="B6" s="2" t="s">
        <v>90</v>
      </c>
      <c r="C6">
        <v>1.68</v>
      </c>
      <c r="D6" s="3">
        <f t="shared" si="0"/>
        <v>0.7</v>
      </c>
      <c r="F6">
        <v>4226</v>
      </c>
      <c r="H6">
        <f>SUM(H4:H5)</f>
        <v>5.08</v>
      </c>
      <c r="Q6" t="s">
        <v>277</v>
      </c>
      <c r="S6">
        <v>0.158</v>
      </c>
      <c r="T6">
        <f>0.158*EXP(0.2*0)</f>
        <v>0.158</v>
      </c>
    </row>
    <row r="7" spans="2:20" x14ac:dyDescent="0.25">
      <c r="B7" s="2" t="s">
        <v>92</v>
      </c>
      <c r="C7">
        <v>3.3</v>
      </c>
      <c r="D7" s="3">
        <f t="shared" si="0"/>
        <v>1.375</v>
      </c>
      <c r="F7">
        <f>4226*0.52</f>
        <v>2197.52</v>
      </c>
      <c r="G7" t="s">
        <v>284</v>
      </c>
      <c r="H7">
        <v>0.6</v>
      </c>
      <c r="Q7">
        <f>(5.5*16.5*0.062*EXP(0.25*0))</f>
        <v>5.6265000000000001</v>
      </c>
      <c r="S7">
        <f>0.38*EXP(0.1*-0.6)</f>
        <v>0.35787052276201453</v>
      </c>
      <c r="T7">
        <f>0.158*EXP(0.2*-0.6)</f>
        <v>0.14013342900131087</v>
      </c>
    </row>
    <row r="8" spans="2:20" x14ac:dyDescent="0.25">
      <c r="B8" s="2" t="s">
        <v>72</v>
      </c>
      <c r="C8">
        <v>1.66</v>
      </c>
      <c r="D8" s="3">
        <f t="shared" si="0"/>
        <v>0.69166666666666665</v>
      </c>
      <c r="F8">
        <v>875</v>
      </c>
      <c r="H8">
        <f>SUM(H6:H7)</f>
        <v>5.68</v>
      </c>
      <c r="S8">
        <f>0.38*EXP(0.1*-1.6)</f>
        <v>0.3238146398071603</v>
      </c>
      <c r="T8">
        <f>0.158*EXP(0.2*-1.6)</f>
        <v>0.11473154785764315</v>
      </c>
    </row>
    <row r="9" spans="2:20" x14ac:dyDescent="0.25">
      <c r="B9" s="2" t="s">
        <v>73</v>
      </c>
      <c r="C9">
        <v>0.99</v>
      </c>
      <c r="D9" s="3">
        <f t="shared" si="0"/>
        <v>0.41250000000000003</v>
      </c>
      <c r="F9">
        <f>SUM(F7:F8)</f>
        <v>3072.52</v>
      </c>
      <c r="H9" t="s">
        <v>287</v>
      </c>
    </row>
    <row r="10" spans="2:20" x14ac:dyDescent="0.25">
      <c r="B10" s="2" t="s">
        <v>74</v>
      </c>
      <c r="C10">
        <v>1.86</v>
      </c>
      <c r="D10" s="3">
        <f t="shared" si="0"/>
        <v>0.77500000000000002</v>
      </c>
      <c r="F10">
        <f>6300-F9</f>
        <v>3227.48</v>
      </c>
      <c r="S10">
        <f>0.158/2*EXP(0.2*-1.6)</f>
        <v>5.7365773928821577E-2</v>
      </c>
      <c r="T10">
        <f>0.158*EXP(0.2*1.4)</f>
        <v>0.20905451034931502</v>
      </c>
    </row>
    <row r="11" spans="2:20" x14ac:dyDescent="0.25">
      <c r="B11" s="2" t="s">
        <v>75</v>
      </c>
      <c r="C11">
        <v>3.74</v>
      </c>
      <c r="D11" s="3">
        <f t="shared" si="0"/>
        <v>1.5583333333333336</v>
      </c>
      <c r="P11" t="s">
        <v>241</v>
      </c>
    </row>
    <row r="12" spans="2:20" x14ac:dyDescent="0.25">
      <c r="B12" s="2" t="s">
        <v>76</v>
      </c>
      <c r="C12">
        <v>2.41</v>
      </c>
      <c r="D12" s="3">
        <f t="shared" si="0"/>
        <v>1.0041666666666669</v>
      </c>
      <c r="F12">
        <f>1985*0.52</f>
        <v>1032.2</v>
      </c>
      <c r="P12" t="s">
        <v>242</v>
      </c>
      <c r="Q12">
        <v>80</v>
      </c>
      <c r="R12" t="s">
        <v>243</v>
      </c>
    </row>
    <row r="13" spans="2:20" x14ac:dyDescent="0.25">
      <c r="B13" s="2" t="s">
        <v>88</v>
      </c>
      <c r="C13">
        <v>0.76</v>
      </c>
      <c r="D13" s="3">
        <f t="shared" si="0"/>
        <v>0.31666666666666671</v>
      </c>
      <c r="F13">
        <f>F12*2.4</f>
        <v>2477.2800000000002</v>
      </c>
      <c r="P13" t="s">
        <v>244</v>
      </c>
      <c r="Q13">
        <v>7.5</v>
      </c>
      <c r="R13" t="s">
        <v>245</v>
      </c>
      <c r="S13">
        <f>7.5*8</f>
        <v>60</v>
      </c>
    </row>
    <row r="14" spans="2:20" x14ac:dyDescent="0.25">
      <c r="B14" s="2" t="s">
        <v>78</v>
      </c>
      <c r="C14">
        <v>1.99</v>
      </c>
      <c r="D14" s="3">
        <f t="shared" si="0"/>
        <v>0.82916666666666672</v>
      </c>
      <c r="G14" t="s">
        <v>297</v>
      </c>
      <c r="P14" t="s">
        <v>246</v>
      </c>
      <c r="Q14">
        <v>45</v>
      </c>
      <c r="R14" t="s">
        <v>247</v>
      </c>
    </row>
    <row r="15" spans="2:20" x14ac:dyDescent="0.25">
      <c r="B15" s="2" t="s">
        <v>79</v>
      </c>
      <c r="C15">
        <v>0.66</v>
      </c>
      <c r="D15" s="3">
        <f t="shared" si="0"/>
        <v>0.27500000000000002</v>
      </c>
      <c r="F15" t="s">
        <v>298</v>
      </c>
      <c r="G15">
        <v>11</v>
      </c>
      <c r="H15">
        <f>G15*100/17.69</f>
        <v>62.182023742227244</v>
      </c>
      <c r="P15" t="s">
        <v>248</v>
      </c>
      <c r="Q15">
        <v>5</v>
      </c>
      <c r="R15" t="s">
        <v>247</v>
      </c>
    </row>
    <row r="16" spans="2:20" x14ac:dyDescent="0.25">
      <c r="B16" s="2" t="s">
        <v>80</v>
      </c>
      <c r="C16">
        <v>1.33</v>
      </c>
      <c r="D16" s="3">
        <f t="shared" si="0"/>
        <v>0.5541666666666667</v>
      </c>
      <c r="F16" t="s">
        <v>241</v>
      </c>
      <c r="G16">
        <v>3.2</v>
      </c>
      <c r="H16">
        <f>G16*100/17.69</f>
        <v>18.089315997738833</v>
      </c>
      <c r="P16" t="s">
        <v>249</v>
      </c>
      <c r="Q16">
        <v>40</v>
      </c>
      <c r="R16" t="s">
        <v>251</v>
      </c>
      <c r="S16">
        <f>36*7.5</f>
        <v>270</v>
      </c>
      <c r="T16">
        <f>S16/0.8</f>
        <v>337.5</v>
      </c>
    </row>
    <row r="17" spans="2:20" x14ac:dyDescent="0.25">
      <c r="B17" s="2" t="s">
        <v>86</v>
      </c>
      <c r="C17">
        <v>2.3199999999999998</v>
      </c>
      <c r="D17" s="3">
        <f t="shared" si="0"/>
        <v>0.96666666666666667</v>
      </c>
      <c r="G17">
        <f>SUM(G21:G23)</f>
        <v>3.49</v>
      </c>
      <c r="H17">
        <f>G17*100/17.69</f>
        <v>19.728660260033916</v>
      </c>
      <c r="P17" t="s">
        <v>242</v>
      </c>
      <c r="Q17" t="s">
        <v>250</v>
      </c>
      <c r="R17" t="s">
        <v>252</v>
      </c>
      <c r="S17">
        <f>S16/3.6</f>
        <v>75</v>
      </c>
      <c r="T17">
        <f>(T16/3.6)/1000</f>
        <v>9.375E-2</v>
      </c>
    </row>
    <row r="18" spans="2:20" x14ac:dyDescent="0.25">
      <c r="B18" s="2" t="s">
        <v>82</v>
      </c>
      <c r="C18">
        <v>0.77</v>
      </c>
      <c r="D18" s="3">
        <f t="shared" si="0"/>
        <v>0.32083333333333336</v>
      </c>
      <c r="P18" t="s">
        <v>265</v>
      </c>
      <c r="Q18">
        <v>80</v>
      </c>
      <c r="R18" t="s">
        <v>55</v>
      </c>
      <c r="S18">
        <f>S17*0.2</f>
        <v>15</v>
      </c>
      <c r="T18">
        <f>S18*8</f>
        <v>120</v>
      </c>
    </row>
    <row r="19" spans="2:20" x14ac:dyDescent="0.25">
      <c r="B19" s="2" t="s">
        <v>84</v>
      </c>
      <c r="C19">
        <v>0.6</v>
      </c>
      <c r="D19" s="3">
        <f t="shared" si="0"/>
        <v>0.25</v>
      </c>
      <c r="P19" t="s">
        <v>256</v>
      </c>
      <c r="Q19" t="s">
        <v>281</v>
      </c>
      <c r="R19" t="s">
        <v>282</v>
      </c>
      <c r="S19" t="s">
        <v>240</v>
      </c>
      <c r="T19">
        <f>T18*300</f>
        <v>36000</v>
      </c>
    </row>
    <row r="20" spans="2:20" x14ac:dyDescent="0.25">
      <c r="B20" s="2" t="s">
        <v>81</v>
      </c>
      <c r="C20">
        <v>1.1100000000000001</v>
      </c>
      <c r="D20" s="3">
        <f t="shared" si="0"/>
        <v>0.46250000000000008</v>
      </c>
      <c r="G20">
        <f>SUM(G15:G17)</f>
        <v>17.689999999999998</v>
      </c>
      <c r="P20" t="s">
        <v>266</v>
      </c>
      <c r="Q20" t="s">
        <v>267</v>
      </c>
      <c r="R20" t="s">
        <v>259</v>
      </c>
      <c r="T20">
        <f>T17*0.22</f>
        <v>2.0625000000000001E-2</v>
      </c>
    </row>
    <row r="21" spans="2:20" x14ac:dyDescent="0.25">
      <c r="B21" s="2" t="s">
        <v>87</v>
      </c>
      <c r="C21">
        <v>1.64</v>
      </c>
      <c r="D21" s="3">
        <f t="shared" si="0"/>
        <v>0.68333333333333335</v>
      </c>
      <c r="F21" t="s">
        <v>296</v>
      </c>
      <c r="G21">
        <v>0.57999999999999996</v>
      </c>
      <c r="P21" t="s">
        <v>260</v>
      </c>
      <c r="Q21">
        <v>0.2</v>
      </c>
      <c r="R21" t="s">
        <v>269</v>
      </c>
    </row>
    <row r="22" spans="2:20" x14ac:dyDescent="0.25">
      <c r="B22" s="2" t="s">
        <v>85</v>
      </c>
      <c r="C22">
        <v>5.17</v>
      </c>
      <c r="D22" s="3">
        <f t="shared" si="0"/>
        <v>2.1541666666666668</v>
      </c>
      <c r="F22" t="s">
        <v>90</v>
      </c>
      <c r="G22">
        <v>2.4</v>
      </c>
      <c r="P22" t="s">
        <v>268</v>
      </c>
      <c r="Q22">
        <v>0.22</v>
      </c>
      <c r="R22" t="s">
        <v>270</v>
      </c>
      <c r="T22">
        <f>3200/0.8</f>
        <v>4000</v>
      </c>
    </row>
    <row r="23" spans="2:20" x14ac:dyDescent="0.25">
      <c r="C23">
        <f>SUM(C4:C22)</f>
        <v>35.99</v>
      </c>
      <c r="D23" s="4">
        <f>SUM(D4:D22)</f>
        <v>14.995833333333335</v>
      </c>
      <c r="F23" t="s">
        <v>299</v>
      </c>
      <c r="G23">
        <v>0.51</v>
      </c>
      <c r="P23" t="s">
        <v>244</v>
      </c>
      <c r="Q23" t="s">
        <v>254</v>
      </c>
      <c r="R23" t="s">
        <v>253</v>
      </c>
      <c r="T23">
        <f>T22/3.6</f>
        <v>1111.1111111111111</v>
      </c>
    </row>
    <row r="24" spans="2:20" x14ac:dyDescent="0.25">
      <c r="P24" t="s">
        <v>255</v>
      </c>
      <c r="Q24">
        <v>80</v>
      </c>
      <c r="R24" t="s">
        <v>55</v>
      </c>
      <c r="T24">
        <f>T23*0.2</f>
        <v>222.22222222222223</v>
      </c>
    </row>
    <row r="25" spans="2:20" ht="15.75" x14ac:dyDescent="0.25">
      <c r="C25" s="35" t="s">
        <v>304</v>
      </c>
      <c r="P25" t="s">
        <v>256</v>
      </c>
      <c r="Q25" t="s">
        <v>257</v>
      </c>
      <c r="R25" t="s">
        <v>253</v>
      </c>
    </row>
    <row r="26" spans="2:20" x14ac:dyDescent="0.25">
      <c r="C26" t="s">
        <v>300</v>
      </c>
      <c r="E26">
        <f>(((90*(6*15/90))*0.033)/2.4)*(EXP(0.25*0))</f>
        <v>1.2375</v>
      </c>
      <c r="P26" t="s">
        <v>258</v>
      </c>
      <c r="Q26">
        <f>338/3600</f>
        <v>9.3888888888888883E-2</v>
      </c>
      <c r="R26" t="s">
        <v>259</v>
      </c>
    </row>
    <row r="27" spans="2:20" x14ac:dyDescent="0.25">
      <c r="C27" t="s">
        <v>301</v>
      </c>
      <c r="E27">
        <f>(((90*(6*15/90))*0.033)/5)*(EXP(0.25*-2.6))</f>
        <v>0.31009519139604358</v>
      </c>
      <c r="G27">
        <f>EXP(0.25*-3.6)</f>
        <v>0.40656965974059911</v>
      </c>
      <c r="P27" t="s">
        <v>260</v>
      </c>
      <c r="Q27">
        <v>0.22</v>
      </c>
    </row>
    <row r="28" spans="2:20" x14ac:dyDescent="0.25">
      <c r="C28" t="s">
        <v>302</v>
      </c>
      <c r="D28" s="2"/>
      <c r="E28">
        <f>(((90*(9*15/90))*0.033)/2.4)*(EXP(0.25*0))</f>
        <v>1.8562500000000002</v>
      </c>
      <c r="P28" t="s">
        <v>262</v>
      </c>
      <c r="Q28" t="s">
        <v>263</v>
      </c>
      <c r="R28" t="s">
        <v>261</v>
      </c>
    </row>
    <row r="29" spans="2:20" x14ac:dyDescent="0.25">
      <c r="C29" t="s">
        <v>303</v>
      </c>
      <c r="D29" s="2"/>
      <c r="E29">
        <f>(((90*(9*15/90))*0.033)/5)*(EXP(0.25*-2.6))</f>
        <v>0.46514278709406531</v>
      </c>
      <c r="P29" t="s">
        <v>268</v>
      </c>
      <c r="Q29">
        <v>2.1000000000000001E-2</v>
      </c>
      <c r="R29" t="s">
        <v>271</v>
      </c>
      <c r="S29">
        <f>Q29*8</f>
        <v>0.16800000000000001</v>
      </c>
    </row>
    <row r="30" spans="2:20" x14ac:dyDescent="0.25">
      <c r="C30" t="s">
        <v>305</v>
      </c>
      <c r="D30" s="2"/>
      <c r="E30">
        <f>(((90*(6*15/90))*0.033)/2)*(EXP(0.25*0.4))</f>
        <v>1.6411788133423371</v>
      </c>
      <c r="Q30">
        <v>0.16800000000000001</v>
      </c>
      <c r="R30" t="s">
        <v>272</v>
      </c>
    </row>
    <row r="31" spans="2:20" x14ac:dyDescent="0.25">
      <c r="C31">
        <v>5.17</v>
      </c>
      <c r="D31" s="2" t="s">
        <v>85</v>
      </c>
      <c r="P31" t="s">
        <v>273</v>
      </c>
      <c r="Q31">
        <v>365</v>
      </c>
    </row>
    <row r="32" spans="2:20" x14ac:dyDescent="0.25">
      <c r="C32" t="s">
        <v>279</v>
      </c>
      <c r="F32">
        <f>90*(6*15/90)</f>
        <v>90</v>
      </c>
      <c r="P32" t="s">
        <v>274</v>
      </c>
      <c r="Q32">
        <f>Q31*Q30</f>
        <v>61.32</v>
      </c>
      <c r="R32" t="s">
        <v>275</v>
      </c>
    </row>
    <row r="33" spans="3:20" x14ac:dyDescent="0.25">
      <c r="C33">
        <v>0.1</v>
      </c>
      <c r="F33">
        <f>90*(9*15/90)</f>
        <v>135</v>
      </c>
      <c r="P33" t="s">
        <v>264</v>
      </c>
      <c r="Q33">
        <v>0.54</v>
      </c>
      <c r="S33">
        <f>Q30*0.54/0.22</f>
        <v>0.41236363636363638</v>
      </c>
      <c r="T33">
        <f>S33*365</f>
        <v>150.51272727272729</v>
      </c>
    </row>
    <row r="34" spans="3:20" x14ac:dyDescent="0.25">
      <c r="C34">
        <v>0.3</v>
      </c>
      <c r="D34" t="s">
        <v>259</v>
      </c>
      <c r="P34" t="s">
        <v>276</v>
      </c>
      <c r="Q34">
        <v>0.48</v>
      </c>
      <c r="R34" t="s">
        <v>278</v>
      </c>
      <c r="S34">
        <f>(3200/3600)*0.54</f>
        <v>0.48</v>
      </c>
    </row>
    <row r="35" spans="3:20" x14ac:dyDescent="0.25">
      <c r="C35">
        <f>C34*0.54</f>
        <v>0.16200000000000001</v>
      </c>
      <c r="D35" t="s">
        <v>278</v>
      </c>
    </row>
    <row r="36" spans="3:20" x14ac:dyDescent="0.25">
      <c r="C36">
        <f>C35*3</f>
        <v>0.48599999999999999</v>
      </c>
      <c r="D36" t="s">
        <v>280</v>
      </c>
      <c r="G36">
        <v>40</v>
      </c>
      <c r="H36">
        <v>150</v>
      </c>
      <c r="O36">
        <v>91</v>
      </c>
      <c r="P36">
        <f>(100/O36)*0.22</f>
        <v>0.24175824175824179</v>
      </c>
      <c r="Q36">
        <v>100</v>
      </c>
      <c r="S36" t="s">
        <v>288</v>
      </c>
    </row>
    <row r="37" spans="3:20" x14ac:dyDescent="0.25">
      <c r="C37">
        <f>C36*300</f>
        <v>145.79999999999998</v>
      </c>
      <c r="D37" t="s">
        <v>275</v>
      </c>
      <c r="G37">
        <v>3.1</v>
      </c>
      <c r="H37">
        <v>10.4</v>
      </c>
      <c r="O37">
        <v>91</v>
      </c>
      <c r="P37">
        <f>(80/O37)*0.22</f>
        <v>0.19340659340659341</v>
      </c>
      <c r="Q37">
        <v>80</v>
      </c>
      <c r="R37" t="s">
        <v>289</v>
      </c>
      <c r="S37">
        <f>18*5</f>
        <v>90</v>
      </c>
    </row>
    <row r="38" spans="3:20" x14ac:dyDescent="0.25">
      <c r="J38">
        <v>158</v>
      </c>
      <c r="K38">
        <f>J38*EXP(0.2*OCCNORM)</f>
        <v>158</v>
      </c>
      <c r="O38">
        <v>91</v>
      </c>
      <c r="P38">
        <f>(50/O38)*0.22</f>
        <v>0.12087912087912089</v>
      </c>
      <c r="Q38">
        <v>50</v>
      </c>
      <c r="R38" t="s">
        <v>290</v>
      </c>
      <c r="S38">
        <f>S37*365</f>
        <v>32850</v>
      </c>
      <c r="T38" t="s">
        <v>293</v>
      </c>
    </row>
    <row r="39" spans="3:20" x14ac:dyDescent="0.25">
      <c r="C39">
        <f>1.11*EXP(0.15*-2.6)</f>
        <v>0.75153313069296279</v>
      </c>
      <c r="G39">
        <f>91*0.0664+0.45</f>
        <v>6.4923999999999999</v>
      </c>
      <c r="J39">
        <f>0.088*6*52*1*3</f>
        <v>82.368000000000009</v>
      </c>
      <c r="K39">
        <f>J39*EXP(0.05*OCCNORM)</f>
        <v>82.368000000000009</v>
      </c>
      <c r="O39">
        <v>91</v>
      </c>
      <c r="P39">
        <f>(120/O39)*0.22</f>
        <v>0.29010989010989013</v>
      </c>
      <c r="Q39">
        <v>120</v>
      </c>
      <c r="R39" t="s">
        <v>291</v>
      </c>
      <c r="S39">
        <f>18*20*365</f>
        <v>131400</v>
      </c>
      <c r="T39" t="s">
        <v>292</v>
      </c>
    </row>
    <row r="40" spans="3:20" x14ac:dyDescent="0.25">
      <c r="K40">
        <f>(K39+K38)-(228/PEOPLE)</f>
        <v>141.23756521739131</v>
      </c>
      <c r="O40">
        <v>91</v>
      </c>
      <c r="P40">
        <f>(200/O40)*0.22</f>
        <v>0.48351648351648358</v>
      </c>
      <c r="Q40">
        <v>200</v>
      </c>
    </row>
  </sheetData>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
  <sheetViews>
    <sheetView topLeftCell="A11" workbookViewId="0">
      <selection activeCell="K13" sqref="K13"/>
    </sheetView>
  </sheetViews>
  <sheetFormatPr defaultRowHeight="15" x14ac:dyDescent="0.25"/>
  <sheetData>
    <row r="1" spans="1:20" x14ac:dyDescent="0.25">
      <c r="B1" t="s">
        <v>203</v>
      </c>
    </row>
    <row r="2" spans="1:20" x14ac:dyDescent="0.25">
      <c r="B2" t="s">
        <v>204</v>
      </c>
    </row>
    <row r="3" spans="1:20" x14ac:dyDescent="0.25">
      <c r="B3" t="s">
        <v>205</v>
      </c>
    </row>
    <row r="4" spans="1:20" x14ac:dyDescent="0.25">
      <c r="B4" t="s">
        <v>206</v>
      </c>
    </row>
    <row r="5" spans="1:20" x14ac:dyDescent="0.25">
      <c r="B5" t="s">
        <v>115</v>
      </c>
      <c r="G5" t="s">
        <v>179</v>
      </c>
      <c r="K5" t="s">
        <v>125</v>
      </c>
    </row>
    <row r="6" spans="1:20" x14ac:dyDescent="0.25">
      <c r="B6">
        <v>7.03</v>
      </c>
      <c r="C6">
        <v>11.17</v>
      </c>
      <c r="D6">
        <v>13.46</v>
      </c>
      <c r="E6">
        <v>15.67</v>
      </c>
      <c r="F6">
        <v>18.170000000000002</v>
      </c>
      <c r="G6">
        <v>21.2</v>
      </c>
      <c r="H6">
        <v>24.83</v>
      </c>
      <c r="I6">
        <v>29.47</v>
      </c>
      <c r="J6">
        <v>36.54</v>
      </c>
      <c r="K6">
        <v>63.67</v>
      </c>
      <c r="L6" t="s">
        <v>119</v>
      </c>
    </row>
    <row r="7" spans="1:20" x14ac:dyDescent="0.25">
      <c r="A7" t="s">
        <v>109</v>
      </c>
      <c r="B7">
        <v>3.85</v>
      </c>
      <c r="C7">
        <v>3.85</v>
      </c>
      <c r="D7">
        <v>3.75</v>
      </c>
      <c r="E7">
        <v>3.56</v>
      </c>
      <c r="F7">
        <v>3.64</v>
      </c>
      <c r="G7">
        <v>3.82</v>
      </c>
      <c r="H7">
        <v>3.95</v>
      </c>
      <c r="I7">
        <v>4.13</v>
      </c>
      <c r="J7">
        <v>4.4800000000000004</v>
      </c>
      <c r="K7">
        <v>5.59</v>
      </c>
      <c r="L7" t="s">
        <v>134</v>
      </c>
      <c r="Q7" s="3">
        <f>AVERAGE(B7:J7)</f>
        <v>3.8922222222222222</v>
      </c>
      <c r="R7" s="4">
        <f>Q7/14.7*100</f>
        <v>26.477702191987905</v>
      </c>
      <c r="S7" s="3">
        <v>2.3666666666666667</v>
      </c>
      <c r="T7" s="4">
        <f>S7/14.99*100</f>
        <v>15.788303313319989</v>
      </c>
    </row>
    <row r="8" spans="1:20" x14ac:dyDescent="0.25">
      <c r="B8">
        <v>7.03</v>
      </c>
      <c r="C8">
        <v>11.17</v>
      </c>
      <c r="D8">
        <v>13.46</v>
      </c>
      <c r="E8">
        <v>15.67</v>
      </c>
      <c r="F8">
        <v>18.170000000000002</v>
      </c>
      <c r="G8">
        <v>21.2</v>
      </c>
      <c r="H8">
        <v>24.83</v>
      </c>
      <c r="I8">
        <v>29.47</v>
      </c>
      <c r="J8">
        <v>36.54</v>
      </c>
      <c r="K8">
        <v>63.67</v>
      </c>
      <c r="Q8" s="3"/>
      <c r="R8" s="4"/>
      <c r="T8" s="4"/>
    </row>
    <row r="9" spans="1:20" x14ac:dyDescent="0.25">
      <c r="A9" t="s">
        <v>113</v>
      </c>
      <c r="B9">
        <v>1.73</v>
      </c>
      <c r="C9">
        <v>1.77</v>
      </c>
      <c r="D9">
        <v>2.77</v>
      </c>
      <c r="E9">
        <v>3.05</v>
      </c>
      <c r="F9">
        <v>3.03</v>
      </c>
      <c r="G9">
        <v>3.65</v>
      </c>
      <c r="H9">
        <v>3.89</v>
      </c>
      <c r="I9">
        <v>4.88</v>
      </c>
      <c r="J9">
        <v>5.31</v>
      </c>
      <c r="K9">
        <v>7.73</v>
      </c>
      <c r="L9" t="s">
        <v>121</v>
      </c>
      <c r="N9" t="s">
        <v>117</v>
      </c>
      <c r="Q9" s="3">
        <f t="shared" ref="Q9:Q17" si="0">AVERAGE(B9:J9)</f>
        <v>3.342222222222222</v>
      </c>
      <c r="R9" s="4">
        <f t="shared" ref="R9:R19" si="1">Q9/14.7*100</f>
        <v>22.736205593348448</v>
      </c>
      <c r="S9" s="3">
        <v>3.2541666666666664</v>
      </c>
      <c r="T9" s="4">
        <f t="shared" ref="T9:T19" si="2">S9/14.99*100</f>
        <v>21.708917055814986</v>
      </c>
    </row>
    <row r="10" spans="1:20" x14ac:dyDescent="0.25">
      <c r="B10">
        <v>7.03</v>
      </c>
      <c r="C10">
        <v>11.17</v>
      </c>
      <c r="D10">
        <v>13.46</v>
      </c>
      <c r="E10">
        <v>15.67</v>
      </c>
      <c r="F10">
        <v>18.170000000000002</v>
      </c>
      <c r="G10">
        <v>21.2</v>
      </c>
      <c r="H10">
        <v>24.83</v>
      </c>
      <c r="I10">
        <v>29.47</v>
      </c>
      <c r="J10">
        <v>36.54</v>
      </c>
      <c r="K10">
        <v>63.67</v>
      </c>
      <c r="Q10" s="3"/>
      <c r="R10" s="4"/>
      <c r="T10" s="4"/>
    </row>
    <row r="11" spans="1:20" x14ac:dyDescent="0.25">
      <c r="A11" t="s">
        <v>39</v>
      </c>
      <c r="B11">
        <v>1.53</v>
      </c>
      <c r="C11">
        <v>1.81</v>
      </c>
      <c r="D11">
        <v>1.93</v>
      </c>
      <c r="E11">
        <v>1.78</v>
      </c>
      <c r="F11">
        <v>1.96</v>
      </c>
      <c r="G11">
        <v>1.97</v>
      </c>
      <c r="H11">
        <v>2.17</v>
      </c>
      <c r="I11">
        <v>2.2599999999999998</v>
      </c>
      <c r="J11">
        <v>2.5</v>
      </c>
      <c r="K11">
        <v>2.77</v>
      </c>
      <c r="L11" t="s">
        <v>118</v>
      </c>
      <c r="N11" t="s">
        <v>120</v>
      </c>
      <c r="Q11" s="3">
        <f t="shared" si="0"/>
        <v>1.99</v>
      </c>
      <c r="R11" s="4">
        <f t="shared" si="1"/>
        <v>13.537414965986393</v>
      </c>
      <c r="S11" s="3">
        <v>2.8750000000000004</v>
      </c>
      <c r="T11" s="4">
        <f t="shared" si="2"/>
        <v>19.179452968645766</v>
      </c>
    </row>
    <row r="12" spans="1:20" x14ac:dyDescent="0.25">
      <c r="B12">
        <v>7.03</v>
      </c>
      <c r="C12">
        <v>11.17</v>
      </c>
      <c r="D12">
        <v>13.46</v>
      </c>
      <c r="E12">
        <v>15.67</v>
      </c>
      <c r="F12">
        <v>18.170000000000002</v>
      </c>
      <c r="G12">
        <v>21.2</v>
      </c>
      <c r="H12">
        <v>24.83</v>
      </c>
      <c r="I12">
        <v>29.47</v>
      </c>
      <c r="J12">
        <v>36.54</v>
      </c>
      <c r="K12">
        <v>63.67</v>
      </c>
      <c r="Q12" s="3"/>
      <c r="R12" s="4"/>
      <c r="T12" s="4"/>
    </row>
    <row r="13" spans="1:20" x14ac:dyDescent="0.25">
      <c r="A13" t="s">
        <v>112</v>
      </c>
      <c r="B13" s="3">
        <v>1.3938053097345133</v>
      </c>
      <c r="C13" s="3">
        <v>1.7035398230088494</v>
      </c>
      <c r="D13" s="3">
        <v>2.13716814159292</v>
      </c>
      <c r="E13" s="3">
        <v>2.0907079646017701</v>
      </c>
      <c r="F13" s="3">
        <v>2.5862831858407076</v>
      </c>
      <c r="G13" s="3">
        <v>2.6172566371681412</v>
      </c>
      <c r="H13" s="3">
        <v>3.0973451327433628</v>
      </c>
      <c r="I13" s="3">
        <v>3.2986725663716809</v>
      </c>
      <c r="J13" s="3">
        <v>4.1504424778761058</v>
      </c>
      <c r="K13" s="3">
        <v>5.2809734513274336</v>
      </c>
      <c r="L13" t="s">
        <v>116</v>
      </c>
      <c r="N13" t="s">
        <v>122</v>
      </c>
      <c r="Q13" s="3">
        <f t="shared" si="0"/>
        <v>2.5639134709931168</v>
      </c>
      <c r="R13" s="4">
        <f t="shared" si="1"/>
        <v>17.441588238048414</v>
      </c>
      <c r="S13" s="3">
        <v>2.625</v>
      </c>
      <c r="T13" s="4">
        <f t="shared" si="2"/>
        <v>17.511674449633087</v>
      </c>
    </row>
    <row r="14" spans="1:20" x14ac:dyDescent="0.25">
      <c r="B14">
        <v>7.03</v>
      </c>
      <c r="C14">
        <v>11.17</v>
      </c>
      <c r="D14">
        <v>13.46</v>
      </c>
      <c r="E14">
        <v>15.67</v>
      </c>
      <c r="F14">
        <v>18.170000000000002</v>
      </c>
      <c r="G14">
        <v>21.2</v>
      </c>
      <c r="H14">
        <v>24.83</v>
      </c>
      <c r="I14">
        <v>29.47</v>
      </c>
      <c r="J14">
        <v>36.54</v>
      </c>
      <c r="K14">
        <v>63.67</v>
      </c>
      <c r="L14" t="s">
        <v>135</v>
      </c>
      <c r="Q14" s="3"/>
      <c r="R14" s="4"/>
      <c r="T14" s="4"/>
    </row>
    <row r="15" spans="1:20" x14ac:dyDescent="0.25">
      <c r="A15" t="s">
        <v>123</v>
      </c>
      <c r="B15">
        <v>0.95</v>
      </c>
      <c r="C15">
        <v>1.05</v>
      </c>
      <c r="D15">
        <v>1.18</v>
      </c>
      <c r="E15">
        <v>1.22</v>
      </c>
      <c r="F15">
        <v>1.39</v>
      </c>
      <c r="G15">
        <v>1.53</v>
      </c>
      <c r="H15">
        <v>1.81</v>
      </c>
      <c r="I15">
        <v>1.96</v>
      </c>
      <c r="J15">
        <v>2.2799999999999998</v>
      </c>
      <c r="K15">
        <v>3.44</v>
      </c>
      <c r="L15" t="s">
        <v>116</v>
      </c>
      <c r="N15">
        <v>0.5</v>
      </c>
      <c r="Q15" s="3">
        <f t="shared" si="0"/>
        <v>1.4855555555555555</v>
      </c>
      <c r="R15" s="4">
        <f t="shared" si="1"/>
        <v>10.105820105820106</v>
      </c>
      <c r="S15" s="3">
        <v>1.7166666666666668</v>
      </c>
      <c r="T15" s="4">
        <f t="shared" si="2"/>
        <v>11.452079163887037</v>
      </c>
    </row>
    <row r="16" spans="1:20" x14ac:dyDescent="0.25">
      <c r="B16">
        <v>7.03</v>
      </c>
      <c r="C16">
        <v>11.17</v>
      </c>
      <c r="D16">
        <v>13.46</v>
      </c>
      <c r="E16">
        <v>15.67</v>
      </c>
      <c r="F16">
        <v>18.170000000000002</v>
      </c>
      <c r="G16">
        <v>21.2</v>
      </c>
      <c r="H16">
        <v>24.83</v>
      </c>
      <c r="I16">
        <v>29.47</v>
      </c>
      <c r="J16">
        <v>36.54</v>
      </c>
      <c r="K16">
        <v>63.67</v>
      </c>
      <c r="Q16" s="3"/>
      <c r="R16" s="4"/>
      <c r="T16" s="4"/>
    </row>
    <row r="17" spans="1:20" x14ac:dyDescent="0.25">
      <c r="A17" t="s">
        <v>110</v>
      </c>
      <c r="B17">
        <v>1.96</v>
      </c>
      <c r="C17">
        <v>2.14</v>
      </c>
      <c r="D17">
        <v>1.97</v>
      </c>
      <c r="E17">
        <v>1.83</v>
      </c>
      <c r="F17">
        <v>1.7</v>
      </c>
      <c r="G17">
        <v>1.75</v>
      </c>
      <c r="H17">
        <v>1.67</v>
      </c>
      <c r="I17">
        <v>1.64</v>
      </c>
      <c r="J17">
        <v>1.58</v>
      </c>
      <c r="K17">
        <v>1.52</v>
      </c>
      <c r="L17" t="s">
        <v>124</v>
      </c>
      <c r="N17">
        <f>AVERAGE(B17:K17)</f>
        <v>1.7760000000000002</v>
      </c>
      <c r="Q17" s="3">
        <f t="shared" si="0"/>
        <v>1.8044444444444447</v>
      </c>
      <c r="R17" s="4">
        <f t="shared" si="1"/>
        <v>12.275132275132277</v>
      </c>
      <c r="S17" s="3">
        <v>2.15</v>
      </c>
      <c r="T17" s="4">
        <f t="shared" si="2"/>
        <v>14.342895263509007</v>
      </c>
    </row>
    <row r="18" spans="1:20" x14ac:dyDescent="0.25">
      <c r="R18" s="4"/>
      <c r="T18" s="4"/>
    </row>
    <row r="19" spans="1:20" x14ac:dyDescent="0.25">
      <c r="Q19" s="3">
        <f>SUM(Q7:Q18)</f>
        <v>15.078357915437561</v>
      </c>
      <c r="R19" s="4">
        <f t="shared" si="1"/>
        <v>102.57386337032355</v>
      </c>
      <c r="S19" s="3">
        <f>SUM(S7:S18)</f>
        <v>14.987500000000001</v>
      </c>
      <c r="T19" s="4">
        <f t="shared" si="2"/>
        <v>99.983322214809874</v>
      </c>
    </row>
  </sheetData>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3"/>
  <sheetViews>
    <sheetView topLeftCell="A2" workbookViewId="0">
      <selection activeCell="K11" sqref="K11"/>
    </sheetView>
  </sheetViews>
  <sheetFormatPr defaultRowHeight="15" x14ac:dyDescent="0.25"/>
  <cols>
    <col min="7" max="7" width="12.5703125" customWidth="1"/>
    <col min="8" max="8" width="10.85546875" customWidth="1"/>
    <col min="9" max="9" width="12" bestFit="1" customWidth="1"/>
  </cols>
  <sheetData>
    <row r="2" spans="1:16" x14ac:dyDescent="0.25">
      <c r="B2" t="s">
        <v>156</v>
      </c>
      <c r="J2" t="s">
        <v>102</v>
      </c>
      <c r="K2" t="s">
        <v>94</v>
      </c>
      <c r="L2" t="s">
        <v>97</v>
      </c>
      <c r="M2" t="s">
        <v>95</v>
      </c>
      <c r="N2" t="s">
        <v>98</v>
      </c>
      <c r="O2" t="s">
        <v>96</v>
      </c>
      <c r="P2" t="s">
        <v>99</v>
      </c>
    </row>
    <row r="3" spans="1:16" x14ac:dyDescent="0.25">
      <c r="J3" t="s">
        <v>101</v>
      </c>
      <c r="K3">
        <v>7000</v>
      </c>
      <c r="L3">
        <v>14000</v>
      </c>
      <c r="M3">
        <v>20500</v>
      </c>
      <c r="N3">
        <v>27000</v>
      </c>
      <c r="O3">
        <v>37000</v>
      </c>
      <c r="P3">
        <v>70000</v>
      </c>
    </row>
    <row r="6" spans="1:16" x14ac:dyDescent="0.25">
      <c r="J6" t="s">
        <v>196</v>
      </c>
    </row>
    <row r="7" spans="1:16" x14ac:dyDescent="0.25">
      <c r="B7" t="s">
        <v>130</v>
      </c>
      <c r="I7">
        <v>7</v>
      </c>
      <c r="J7">
        <v>14</v>
      </c>
      <c r="K7">
        <v>21</v>
      </c>
      <c r="L7">
        <v>37</v>
      </c>
      <c r="M7">
        <v>65</v>
      </c>
    </row>
    <row r="8" spans="1:16" x14ac:dyDescent="0.25">
      <c r="C8" t="s">
        <v>180</v>
      </c>
      <c r="D8" t="s">
        <v>132</v>
      </c>
      <c r="E8" t="s">
        <v>131</v>
      </c>
      <c r="I8" s="7" t="s">
        <v>138</v>
      </c>
      <c r="J8" t="s">
        <v>196</v>
      </c>
      <c r="L8" s="7" t="s">
        <v>139</v>
      </c>
      <c r="M8" t="s">
        <v>195</v>
      </c>
    </row>
    <row r="9" spans="1:16" x14ac:dyDescent="0.25">
      <c r="C9">
        <v>5.17</v>
      </c>
      <c r="D9" s="3">
        <v>2.1539999999999999</v>
      </c>
      <c r="E9" s="8" t="s">
        <v>216</v>
      </c>
      <c r="G9" t="s">
        <v>202</v>
      </c>
      <c r="H9" t="s">
        <v>110</v>
      </c>
      <c r="I9" s="3">
        <v>2.33</v>
      </c>
      <c r="J9" s="3">
        <f>3.7795*J7^-0.184</f>
        <v>2.3256630405176959</v>
      </c>
      <c r="K9" s="3">
        <f>3.7795*K7^-0.184</f>
        <v>2.1584699133003666</v>
      </c>
      <c r="L9" s="3">
        <f>3.7795*L7^-0.184</f>
        <v>1.9448460646967296</v>
      </c>
      <c r="M9" s="3">
        <f>3.7795*M7^-0.184</f>
        <v>1.7533083134588394</v>
      </c>
      <c r="N9" s="3"/>
      <c r="O9">
        <v>-0.1</v>
      </c>
      <c r="P9">
        <v>0</v>
      </c>
    </row>
    <row r="10" spans="1:16" x14ac:dyDescent="0.25">
      <c r="C10">
        <v>4.12</v>
      </c>
      <c r="D10" s="3">
        <v>1.7170000000000001</v>
      </c>
      <c r="E10" s="8" t="s">
        <v>215</v>
      </c>
      <c r="H10" t="s">
        <v>111</v>
      </c>
      <c r="I10" s="3">
        <f>0.0517*I7+0.66665</f>
        <v>1.0285500000000001</v>
      </c>
      <c r="J10" s="3">
        <f>0.0517*J7+0.66665</f>
        <v>1.39045</v>
      </c>
      <c r="K10" s="3">
        <f>0.0517*K7+0.66665</f>
        <v>1.7523500000000001</v>
      </c>
      <c r="L10" s="3">
        <f>0.0517*L7+0.66665</f>
        <v>2.5795500000000002</v>
      </c>
      <c r="M10" s="3">
        <f>0.0517*M7+0.66665</f>
        <v>4.0271499999999998</v>
      </c>
      <c r="N10" s="3"/>
      <c r="O10">
        <v>0.5</v>
      </c>
      <c r="P10">
        <v>-0.13</v>
      </c>
    </row>
    <row r="11" spans="1:16" x14ac:dyDescent="0.25">
      <c r="B11" s="9" t="s">
        <v>140</v>
      </c>
      <c r="C11">
        <v>6.3</v>
      </c>
      <c r="D11" s="3">
        <v>2.625</v>
      </c>
      <c r="E11" s="8" t="s">
        <v>214</v>
      </c>
      <c r="H11" t="s">
        <v>112</v>
      </c>
      <c r="I11" s="3">
        <f>-0.0007*I7^2+0.11993*I7+0.524</f>
        <v>1.32921</v>
      </c>
      <c r="J11" s="3">
        <f>-0.0007*J7^2+0.11993*J7+0.524</f>
        <v>2.06582</v>
      </c>
      <c r="K11" s="3">
        <f>-0.0007*K7^2+0.11993*K7+0.524</f>
        <v>2.7338299999999998</v>
      </c>
      <c r="L11" s="3">
        <f>-0.0007*L7^2+0.11993*L7+0.524</f>
        <v>4.0031099999999995</v>
      </c>
      <c r="M11" s="3">
        <f>-0.0007*M7^2+0.11993*M7+0.524</f>
        <v>5.3619499999999993</v>
      </c>
      <c r="N11" s="3"/>
      <c r="O11">
        <v>0.5</v>
      </c>
      <c r="P11">
        <v>0</v>
      </c>
    </row>
    <row r="12" spans="1:16" x14ac:dyDescent="0.25">
      <c r="A12" t="s">
        <v>141</v>
      </c>
      <c r="C12">
        <v>6.9</v>
      </c>
      <c r="D12" s="3">
        <v>2.875</v>
      </c>
      <c r="E12" s="8" t="s">
        <v>213</v>
      </c>
      <c r="H12" t="s">
        <v>39</v>
      </c>
      <c r="I12" s="3">
        <f>-0.000418*I7^2+0.059695*I7+1.8465</f>
        <v>2.2438829999999998</v>
      </c>
      <c r="J12" s="3">
        <f>-0.000418*J7^2+0.059695*J7+1.8465</f>
        <v>2.6003020000000001</v>
      </c>
      <c r="K12" s="3">
        <f>-0.000418*K7^2+0.059695*K7+1.8465</f>
        <v>2.9157570000000002</v>
      </c>
      <c r="L12" s="3">
        <f>-0.000418*L7^2+0.059695*L7+1.8465</f>
        <v>3.4829729999999994</v>
      </c>
      <c r="M12" s="3">
        <f>-0.000418*M7^2+0.059695*M7+1.8465</f>
        <v>3.9606249999999994</v>
      </c>
      <c r="N12" s="3"/>
      <c r="O12">
        <v>0.3</v>
      </c>
      <c r="P12">
        <v>-0.17</v>
      </c>
    </row>
    <row r="13" spans="1:16" x14ac:dyDescent="0.25">
      <c r="C13">
        <v>7.81</v>
      </c>
      <c r="D13" s="3">
        <v>3.254</v>
      </c>
      <c r="E13" s="8" t="s">
        <v>212</v>
      </c>
      <c r="H13" t="s">
        <v>113</v>
      </c>
      <c r="I13" s="3">
        <f>-0.0008*I7^2+0.1569*I7+0.452</f>
        <v>1.5111000000000001</v>
      </c>
      <c r="J13" s="3">
        <f>-0.0008*J7^2+0.1569*J7+0.452</f>
        <v>2.4918</v>
      </c>
      <c r="K13" s="3">
        <f>-0.0008*K7^2+0.1569*K7+0.452</f>
        <v>3.3940999999999999</v>
      </c>
      <c r="L13" s="3">
        <f>-0.0008*L7^2+0.1569*L7+0.452</f>
        <v>5.1621000000000006</v>
      </c>
      <c r="M13" s="3">
        <f>-0.0008*M7^2+0.1569*M7+0.452</f>
        <v>7.2705000000000002</v>
      </c>
      <c r="N13" s="3"/>
      <c r="O13">
        <v>0.9</v>
      </c>
      <c r="P13">
        <v>0</v>
      </c>
    </row>
    <row r="14" spans="1:16" x14ac:dyDescent="0.25">
      <c r="C14">
        <v>5.68</v>
      </c>
      <c r="D14" s="3">
        <v>2.37</v>
      </c>
      <c r="E14" s="8" t="s">
        <v>210</v>
      </c>
      <c r="G14" t="s">
        <v>211</v>
      </c>
      <c r="H14" t="s">
        <v>109</v>
      </c>
      <c r="I14" s="3">
        <v>2.37</v>
      </c>
      <c r="J14" s="3">
        <v>2.37</v>
      </c>
      <c r="K14" s="3">
        <f>0.0253*K7+1.7263</f>
        <v>2.2576000000000001</v>
      </c>
      <c r="L14" s="3">
        <f>0.0253*L7+1.7263</f>
        <v>2.6623999999999999</v>
      </c>
      <c r="M14" s="3">
        <f>0.0253*M7+1.7263</f>
        <v>3.3708</v>
      </c>
      <c r="N14" s="3"/>
      <c r="O14">
        <v>0.1</v>
      </c>
      <c r="P14">
        <v>0.47</v>
      </c>
    </row>
    <row r="16" spans="1:16" x14ac:dyDescent="0.25">
      <c r="C16">
        <f>SUM(C9:C15)</f>
        <v>35.980000000000004</v>
      </c>
      <c r="D16">
        <f>SUM(D9:D15)</f>
        <v>14.995000000000001</v>
      </c>
      <c r="I16">
        <f>SUM(I9:I15)</f>
        <v>10.812743000000001</v>
      </c>
      <c r="J16">
        <f>SUM(J9:J15)</f>
        <v>13.244035040517694</v>
      </c>
      <c r="K16">
        <f>SUM(K9:K15)</f>
        <v>15.212106913300365</v>
      </c>
      <c r="L16">
        <f>SUM(L9:L15)</f>
        <v>19.834979064696732</v>
      </c>
      <c r="M16" s="3">
        <f>SUM(M9:M14)</f>
        <v>25.744333313458835</v>
      </c>
      <c r="N16" s="3"/>
    </row>
    <row r="17" spans="2:13" x14ac:dyDescent="0.25">
      <c r="I17" t="s">
        <v>142</v>
      </c>
    </row>
    <row r="18" spans="2:13" x14ac:dyDescent="0.25">
      <c r="B18">
        <f>-0.275*LN(7)+2.6008</f>
        <v>2.0656747090097887</v>
      </c>
      <c r="M18" s="3">
        <f t="shared" ref="M18:M23" si="0">N9/2.4</f>
        <v>0</v>
      </c>
    </row>
    <row r="19" spans="2:13" x14ac:dyDescent="0.25">
      <c r="B19">
        <f>-0.275*LN(70)+2.6</f>
        <v>1.4316638084364262</v>
      </c>
      <c r="M19" s="3">
        <f t="shared" si="0"/>
        <v>0</v>
      </c>
    </row>
    <row r="20" spans="2:13" x14ac:dyDescent="0.25">
      <c r="B20">
        <f>-0.275*LN(37)+2.6</f>
        <v>1.6069975740228384</v>
      </c>
      <c r="M20" s="3">
        <f t="shared" si="0"/>
        <v>0</v>
      </c>
    </row>
    <row r="21" spans="2:13" x14ac:dyDescent="0.25">
      <c r="M21" s="3">
        <f t="shared" si="0"/>
        <v>0</v>
      </c>
    </row>
    <row r="22" spans="2:13" x14ac:dyDescent="0.25">
      <c r="M22" s="3">
        <f t="shared" si="0"/>
        <v>0</v>
      </c>
    </row>
    <row r="23" spans="2:13" x14ac:dyDescent="0.25">
      <c r="M23" s="3">
        <f t="shared" si="0"/>
        <v>0</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14" workbookViewId="0">
      <selection activeCell="O18" sqref="O18"/>
    </sheetView>
  </sheetViews>
  <sheetFormatPr defaultRowHeight="15" x14ac:dyDescent="0.25"/>
  <cols>
    <col min="1" max="1" width="15.85546875" customWidth="1"/>
  </cols>
  <sheetData>
    <row r="1" spans="1:19" x14ac:dyDescent="0.25">
      <c r="A1" t="s">
        <v>554</v>
      </c>
    </row>
    <row r="2" spans="1:19" x14ac:dyDescent="0.25">
      <c r="A2" s="52"/>
      <c r="B2" s="52" t="s">
        <v>321</v>
      </c>
      <c r="C2" s="52"/>
      <c r="D2" s="52"/>
      <c r="E2" s="52"/>
      <c r="F2" s="52"/>
      <c r="G2" s="52"/>
      <c r="H2" s="52"/>
      <c r="I2" s="52" t="s">
        <v>325</v>
      </c>
      <c r="J2" s="52"/>
      <c r="K2" s="52"/>
      <c r="L2" s="52"/>
      <c r="M2" s="52"/>
      <c r="N2" s="52"/>
      <c r="O2" s="52"/>
      <c r="P2" s="52"/>
      <c r="Q2" s="52"/>
      <c r="R2" s="52"/>
      <c r="S2" s="52"/>
    </row>
    <row r="3" spans="1:19" x14ac:dyDescent="0.25">
      <c r="A3" s="52"/>
      <c r="B3" s="52" t="s">
        <v>306</v>
      </c>
      <c r="C3" s="52"/>
      <c r="D3" s="52"/>
      <c r="E3" s="52"/>
      <c r="F3" s="52"/>
      <c r="G3" s="52"/>
      <c r="H3" s="52"/>
      <c r="I3" s="52" t="s">
        <v>327</v>
      </c>
      <c r="J3" s="52"/>
      <c r="K3" s="52"/>
      <c r="L3" s="52"/>
      <c r="M3" s="52"/>
      <c r="N3" s="52"/>
      <c r="O3" s="52"/>
      <c r="P3" s="52"/>
      <c r="Q3" s="52"/>
      <c r="R3" s="52"/>
      <c r="S3" s="52"/>
    </row>
    <row r="4" spans="1:19" x14ac:dyDescent="0.25">
      <c r="A4" s="52"/>
      <c r="B4" s="52"/>
      <c r="C4" s="52"/>
      <c r="D4" s="52"/>
      <c r="E4" s="52" t="s">
        <v>311</v>
      </c>
      <c r="F4" s="52"/>
      <c r="G4" s="52"/>
      <c r="H4" s="52"/>
      <c r="I4" s="52"/>
      <c r="J4" s="52"/>
      <c r="K4" s="52"/>
      <c r="L4" s="52"/>
      <c r="M4" s="52"/>
      <c r="N4" s="52"/>
      <c r="O4" s="52"/>
      <c r="P4" s="52"/>
      <c r="Q4" s="52"/>
      <c r="R4" s="52"/>
      <c r="S4" s="52"/>
    </row>
    <row r="5" spans="1:19" x14ac:dyDescent="0.25">
      <c r="A5" s="52"/>
      <c r="B5" s="52">
        <v>4</v>
      </c>
      <c r="C5" s="52">
        <v>90</v>
      </c>
      <c r="D5" s="52">
        <v>15</v>
      </c>
      <c r="E5" s="52">
        <v>0.01</v>
      </c>
      <c r="F5" s="52"/>
      <c r="G5" s="52"/>
      <c r="H5" s="52"/>
      <c r="I5" s="52"/>
      <c r="J5" s="52">
        <f>15*0.067</f>
        <v>1.0050000000000001</v>
      </c>
      <c r="K5" s="52" t="s">
        <v>316</v>
      </c>
      <c r="L5" s="52"/>
      <c r="M5" s="52"/>
      <c r="N5" s="52"/>
      <c r="O5" s="52"/>
      <c r="P5" s="52">
        <f>2-(2*0.01)</f>
        <v>1.98</v>
      </c>
      <c r="Q5" s="52">
        <v>2</v>
      </c>
      <c r="R5" s="52"/>
      <c r="S5" s="52"/>
    </row>
    <row r="6" spans="1:19" x14ac:dyDescent="0.25">
      <c r="A6" s="52"/>
      <c r="B6" s="52" t="s">
        <v>307</v>
      </c>
      <c r="C6" s="52" t="s">
        <v>308</v>
      </c>
      <c r="D6" s="52" t="s">
        <v>310</v>
      </c>
      <c r="E6" s="52" t="s">
        <v>312</v>
      </c>
      <c r="F6" s="52"/>
      <c r="G6" s="52"/>
      <c r="H6" s="52"/>
      <c r="I6" s="52"/>
      <c r="J6" s="52">
        <v>0.45</v>
      </c>
      <c r="K6" s="52" t="s">
        <v>320</v>
      </c>
      <c r="L6" s="52"/>
      <c r="M6" s="52"/>
      <c r="N6" s="52"/>
      <c r="O6" s="52"/>
      <c r="P6" s="52">
        <f>3-(3*0.01)</f>
        <v>2.97</v>
      </c>
      <c r="Q6" s="52">
        <v>3</v>
      </c>
      <c r="R6" s="52"/>
      <c r="S6" s="52"/>
    </row>
    <row r="7" spans="1:19" x14ac:dyDescent="0.25">
      <c r="A7" s="52"/>
      <c r="B7" s="52" t="s">
        <v>321</v>
      </c>
      <c r="C7" s="52"/>
      <c r="D7" s="52"/>
      <c r="E7" s="52"/>
      <c r="F7" s="52"/>
      <c r="G7" s="52"/>
      <c r="H7" s="52"/>
      <c r="I7" s="52"/>
      <c r="J7" s="52"/>
      <c r="K7" s="52"/>
      <c r="L7" s="52"/>
      <c r="M7" s="52"/>
      <c r="N7" s="52"/>
      <c r="O7" s="52"/>
      <c r="P7" s="52">
        <f>4-(4*0.01)</f>
        <v>3.96</v>
      </c>
      <c r="Q7" s="52">
        <v>4</v>
      </c>
      <c r="R7" s="52"/>
      <c r="S7" s="52"/>
    </row>
    <row r="8" spans="1:19" x14ac:dyDescent="0.25">
      <c r="A8" s="52"/>
      <c r="B8" s="52"/>
      <c r="C8" s="52"/>
      <c r="D8" s="52"/>
      <c r="E8" s="52"/>
      <c r="F8" s="52" t="s">
        <v>323</v>
      </c>
      <c r="G8" s="52"/>
      <c r="H8" s="52" t="s">
        <v>324</v>
      </c>
      <c r="I8" s="52"/>
      <c r="J8" s="52"/>
      <c r="K8" s="52"/>
      <c r="L8" s="52" t="s">
        <v>326</v>
      </c>
      <c r="M8" s="52"/>
      <c r="N8" s="52"/>
      <c r="O8" s="52"/>
      <c r="P8" s="52"/>
      <c r="Q8" s="52"/>
      <c r="R8" s="52"/>
      <c r="S8" s="52"/>
    </row>
    <row r="9" spans="1:19" x14ac:dyDescent="0.25">
      <c r="A9" s="52" t="s">
        <v>322</v>
      </c>
      <c r="B9" s="52"/>
      <c r="C9" s="52"/>
      <c r="D9" s="52" t="s">
        <v>313</v>
      </c>
      <c r="E9" s="52"/>
      <c r="F9" s="52">
        <v>2.4</v>
      </c>
      <c r="G9" s="52">
        <v>1</v>
      </c>
      <c r="H9" s="52"/>
      <c r="I9" s="52">
        <v>5</v>
      </c>
      <c r="J9" s="52"/>
      <c r="K9" s="52"/>
      <c r="L9" s="52">
        <v>1</v>
      </c>
      <c r="M9" s="52">
        <v>3</v>
      </c>
      <c r="N9" s="52">
        <v>5</v>
      </c>
      <c r="O9" s="52">
        <v>7</v>
      </c>
      <c r="P9" s="52"/>
      <c r="Q9" s="52"/>
      <c r="R9" s="52"/>
      <c r="S9" s="52"/>
    </row>
    <row r="10" spans="1:19" x14ac:dyDescent="0.25">
      <c r="A10" s="52" t="s">
        <v>309</v>
      </c>
      <c r="B10" s="52"/>
      <c r="C10" s="52"/>
      <c r="D10" s="52">
        <v>3</v>
      </c>
      <c r="E10" s="52"/>
      <c r="F10" s="52">
        <f t="shared" ref="F10:F15" si="0">D10/$F$9</f>
        <v>1.25</v>
      </c>
      <c r="G10" s="52">
        <f t="shared" ref="G10:G15" si="1">D10/$G$9</f>
        <v>3</v>
      </c>
      <c r="H10" s="53">
        <f t="shared" ref="H10:H15" si="2">G10*EXP(0.25*1.4)</f>
        <v>4.2572026457797714</v>
      </c>
      <c r="I10" s="52">
        <f t="shared" ref="I10:I15" si="3">D10/$I$9</f>
        <v>0.6</v>
      </c>
      <c r="J10" s="52">
        <f t="shared" ref="J10:J15" si="4">I10*EXP(HECO*-2.6)</f>
        <v>0.31322746605660962</v>
      </c>
      <c r="K10" s="52"/>
      <c r="L10" s="53">
        <f t="shared" ref="L10:L15" si="5">F10*EXP(HECO*1.4)</f>
        <v>1.7738344357415714</v>
      </c>
      <c r="M10" s="53">
        <f t="shared" ref="M10:M15" si="6">F10*EXP(HECO*-0.6)</f>
        <v>1.0758849705313223</v>
      </c>
      <c r="N10" s="53">
        <f t="shared" ref="N10:N15" si="7">F10*EXP(HECO*-1.6)</f>
        <v>0.83790005754454921</v>
      </c>
      <c r="O10" s="53">
        <f t="shared" ref="O10:O15" si="8">F10*EXP(HECO*-4.6)</f>
        <v>0.39579596172381659</v>
      </c>
      <c r="P10" s="52"/>
      <c r="Q10" s="52"/>
      <c r="R10" s="52"/>
      <c r="S10" s="52"/>
    </row>
    <row r="11" spans="1:19" x14ac:dyDescent="0.25">
      <c r="A11" s="52" t="s">
        <v>314</v>
      </c>
      <c r="B11" s="52"/>
      <c r="C11" s="52"/>
      <c r="D11" s="52">
        <v>3.45</v>
      </c>
      <c r="E11" s="52"/>
      <c r="F11" s="52">
        <f t="shared" si="0"/>
        <v>1.4375000000000002</v>
      </c>
      <c r="G11" s="52">
        <f t="shared" si="1"/>
        <v>3.45</v>
      </c>
      <c r="H11" s="53">
        <f t="shared" si="2"/>
        <v>4.8957830426467375</v>
      </c>
      <c r="I11" s="52">
        <f t="shared" si="3"/>
        <v>0.69000000000000006</v>
      </c>
      <c r="J11" s="52">
        <f t="shared" si="4"/>
        <v>0.36021158596510111</v>
      </c>
      <c r="K11" s="52"/>
      <c r="L11" s="53">
        <f t="shared" si="5"/>
        <v>2.0399096011028073</v>
      </c>
      <c r="M11" s="53">
        <f t="shared" si="6"/>
        <v>1.2372677161110208</v>
      </c>
      <c r="N11" s="53">
        <f t="shared" si="7"/>
        <v>0.96358506617623163</v>
      </c>
      <c r="O11" s="53">
        <f t="shared" si="8"/>
        <v>0.45516535598238916</v>
      </c>
      <c r="P11" s="52"/>
      <c r="Q11" s="52"/>
      <c r="R11" s="52"/>
      <c r="S11" s="52"/>
    </row>
    <row r="12" spans="1:19" x14ac:dyDescent="0.25">
      <c r="A12" s="52" t="s">
        <v>315</v>
      </c>
      <c r="B12" s="52"/>
      <c r="C12" s="52"/>
      <c r="D12" s="52">
        <v>4.3499999999999996</v>
      </c>
      <c r="E12" s="52"/>
      <c r="F12" s="52">
        <f t="shared" si="0"/>
        <v>1.8125</v>
      </c>
      <c r="G12" s="52">
        <f t="shared" si="1"/>
        <v>4.3499999999999996</v>
      </c>
      <c r="H12" s="53">
        <f t="shared" si="2"/>
        <v>6.1729438363806679</v>
      </c>
      <c r="I12" s="52">
        <f t="shared" si="3"/>
        <v>0.86999999999999988</v>
      </c>
      <c r="J12" s="52">
        <f t="shared" si="4"/>
        <v>0.45417982578208388</v>
      </c>
      <c r="K12" s="52"/>
      <c r="L12" s="53">
        <f t="shared" si="5"/>
        <v>2.5720599318252786</v>
      </c>
      <c r="M12" s="53">
        <f t="shared" si="6"/>
        <v>1.5600332072704173</v>
      </c>
      <c r="N12" s="53">
        <f t="shared" si="7"/>
        <v>1.2149550834395964</v>
      </c>
      <c r="O12" s="53">
        <f t="shared" si="8"/>
        <v>0.57390414449953409</v>
      </c>
      <c r="P12" s="52"/>
      <c r="Q12" s="52"/>
      <c r="R12" s="52"/>
      <c r="S12" s="52"/>
    </row>
    <row r="13" spans="1:19" x14ac:dyDescent="0.25">
      <c r="A13" s="52" t="s">
        <v>317</v>
      </c>
      <c r="B13" s="52"/>
      <c r="C13" s="52"/>
      <c r="D13" s="52">
        <v>2.5499999999999998</v>
      </c>
      <c r="E13" s="52"/>
      <c r="F13" s="52">
        <f t="shared" si="0"/>
        <v>1.0625</v>
      </c>
      <c r="G13" s="52">
        <f t="shared" si="1"/>
        <v>2.5499999999999998</v>
      </c>
      <c r="H13" s="53">
        <f t="shared" si="2"/>
        <v>3.6186222489128053</v>
      </c>
      <c r="I13" s="52">
        <f t="shared" si="3"/>
        <v>0.51</v>
      </c>
      <c r="J13" s="52">
        <f t="shared" si="4"/>
        <v>0.26624334614811818</v>
      </c>
      <c r="K13" s="52"/>
      <c r="L13" s="53">
        <f t="shared" si="5"/>
        <v>1.5077592703803357</v>
      </c>
      <c r="M13" s="53">
        <f t="shared" si="6"/>
        <v>0.91450222495162392</v>
      </c>
      <c r="N13" s="53">
        <f t="shared" si="7"/>
        <v>0.7122150489128668</v>
      </c>
      <c r="O13" s="53">
        <f t="shared" si="8"/>
        <v>0.33642656746524413</v>
      </c>
      <c r="P13" s="52"/>
      <c r="Q13" s="52"/>
      <c r="R13" s="52">
        <v>50</v>
      </c>
      <c r="S13" s="52">
        <v>1.8</v>
      </c>
    </row>
    <row r="14" spans="1:19" x14ac:dyDescent="0.25">
      <c r="A14" s="52" t="s">
        <v>318</v>
      </c>
      <c r="B14" s="52"/>
      <c r="C14" s="52"/>
      <c r="D14" s="52">
        <v>2.1</v>
      </c>
      <c r="E14" s="52"/>
      <c r="F14" s="52">
        <f t="shared" si="0"/>
        <v>0.87500000000000011</v>
      </c>
      <c r="G14" s="52">
        <f t="shared" si="1"/>
        <v>2.1</v>
      </c>
      <c r="H14" s="53">
        <f t="shared" si="2"/>
        <v>2.98004185204584</v>
      </c>
      <c r="I14" s="52">
        <f t="shared" si="3"/>
        <v>0.42000000000000004</v>
      </c>
      <c r="J14" s="52">
        <f t="shared" si="4"/>
        <v>0.21925922623962676</v>
      </c>
      <c r="K14" s="52"/>
      <c r="L14" s="53">
        <f t="shared" si="5"/>
        <v>1.2416841050191001</v>
      </c>
      <c r="M14" s="53">
        <f t="shared" si="6"/>
        <v>0.75311947937192569</v>
      </c>
      <c r="N14" s="53">
        <f t="shared" si="7"/>
        <v>0.58653004028118449</v>
      </c>
      <c r="O14" s="53">
        <f t="shared" si="8"/>
        <v>0.27705717320667167</v>
      </c>
      <c r="P14" s="52"/>
      <c r="Q14" s="52"/>
      <c r="R14" s="52">
        <v>90</v>
      </c>
      <c r="S14" s="52">
        <v>3</v>
      </c>
    </row>
    <row r="15" spans="1:19" x14ac:dyDescent="0.25">
      <c r="A15" s="52" t="s">
        <v>319</v>
      </c>
      <c r="B15" s="52"/>
      <c r="C15" s="52"/>
      <c r="D15" s="52">
        <v>1.65</v>
      </c>
      <c r="E15" s="52"/>
      <c r="F15" s="52">
        <f t="shared" si="0"/>
        <v>0.6875</v>
      </c>
      <c r="G15" s="52">
        <f t="shared" si="1"/>
        <v>1.65</v>
      </c>
      <c r="H15" s="53">
        <f t="shared" si="2"/>
        <v>2.3414614551788739</v>
      </c>
      <c r="I15" s="52">
        <f t="shared" si="3"/>
        <v>0.32999999999999996</v>
      </c>
      <c r="J15" s="52">
        <f t="shared" si="4"/>
        <v>0.17227510633113527</v>
      </c>
      <c r="K15" s="52"/>
      <c r="L15" s="53">
        <f t="shared" si="5"/>
        <v>0.97560893965786422</v>
      </c>
      <c r="M15" s="53">
        <f t="shared" si="6"/>
        <v>0.59173673379222724</v>
      </c>
      <c r="N15" s="53">
        <f t="shared" si="7"/>
        <v>0.46084503164950202</v>
      </c>
      <c r="O15" s="53">
        <f t="shared" si="8"/>
        <v>0.21768777894809913</v>
      </c>
      <c r="P15" s="52"/>
      <c r="Q15" s="52"/>
      <c r="R15" s="52">
        <v>120</v>
      </c>
      <c r="S15" s="52">
        <v>4.2</v>
      </c>
    </row>
    <row r="16" spans="1:19" x14ac:dyDescent="0.25">
      <c r="A16" s="52"/>
      <c r="B16" s="52"/>
      <c r="C16" s="52"/>
      <c r="D16" s="52"/>
      <c r="E16" s="52"/>
      <c r="F16" s="52"/>
      <c r="G16" s="52"/>
      <c r="H16" s="52"/>
      <c r="I16" s="52"/>
      <c r="J16" s="52"/>
      <c r="K16" s="52"/>
      <c r="L16" s="52"/>
      <c r="M16" s="52"/>
      <c r="N16" s="52"/>
      <c r="O16" s="52"/>
      <c r="P16" s="52"/>
      <c r="Q16" s="52"/>
      <c r="R16" s="52">
        <v>150</v>
      </c>
      <c r="S16" s="52">
        <v>4.8</v>
      </c>
    </row>
    <row r="17" spans="1:19" x14ac:dyDescent="0.25">
      <c r="A17" s="52"/>
      <c r="B17" s="52"/>
      <c r="C17" s="52"/>
      <c r="D17" s="52"/>
      <c r="E17" s="52"/>
      <c r="F17" s="52"/>
      <c r="G17" s="52"/>
      <c r="H17" s="52"/>
      <c r="I17" s="52"/>
      <c r="J17" s="52"/>
      <c r="K17" s="52"/>
      <c r="L17" s="52"/>
      <c r="M17" s="52" t="s">
        <v>674</v>
      </c>
      <c r="N17" t="s">
        <v>307</v>
      </c>
      <c r="O17" s="52"/>
      <c r="P17" s="52" t="s">
        <v>551</v>
      </c>
      <c r="Q17" s="52"/>
      <c r="R17" s="52"/>
      <c r="S17" s="52"/>
    </row>
    <row r="18" spans="1:19" x14ac:dyDescent="0.25">
      <c r="A18" s="52" t="s">
        <v>328</v>
      </c>
      <c r="B18" s="52"/>
      <c r="C18" s="52"/>
      <c r="D18" s="52"/>
      <c r="E18" s="52"/>
      <c r="F18" s="52"/>
      <c r="G18" s="52"/>
      <c r="H18" s="52"/>
      <c r="I18" s="52"/>
      <c r="J18" s="52"/>
      <c r="K18" s="52"/>
      <c r="L18" s="52"/>
      <c r="M18" s="52">
        <v>1</v>
      </c>
      <c r="N18">
        <f>1.2+M18*1.6</f>
        <v>2.8</v>
      </c>
      <c r="O18" s="52">
        <f>1.75*N18^2-6*N18+60.3</f>
        <v>57.22</v>
      </c>
      <c r="P18" s="53">
        <f>0.034*O18</f>
        <v>1.9454800000000001</v>
      </c>
      <c r="Q18" s="53">
        <f>N18^2*2-6.7*N18+60</f>
        <v>56.92</v>
      </c>
      <c r="R18" s="52"/>
      <c r="S18" s="52"/>
    </row>
    <row r="19" spans="1:19" x14ac:dyDescent="0.25">
      <c r="A19" s="52" t="s">
        <v>329</v>
      </c>
      <c r="B19" s="52"/>
      <c r="C19" s="52"/>
      <c r="D19" s="52"/>
      <c r="E19" s="52"/>
      <c r="F19" s="52"/>
      <c r="G19" s="52"/>
      <c r="H19" s="52"/>
      <c r="I19" s="52"/>
      <c r="J19" s="52"/>
      <c r="K19" s="52"/>
      <c r="L19" s="52">
        <f>0.93^(21-24)</f>
        <v>1.2432290637117596</v>
      </c>
      <c r="M19" s="52">
        <v>2</v>
      </c>
      <c r="N19">
        <f t="shared" ref="N19:N26" si="9">1.2+M19*1.6</f>
        <v>4.4000000000000004</v>
      </c>
      <c r="O19" s="52">
        <f t="shared" ref="O19:O26" si="10">1.75*N19^2-6*N19+60.3</f>
        <v>67.78</v>
      </c>
      <c r="P19" s="53">
        <f>0.034*O19</f>
        <v>2.3045200000000001</v>
      </c>
      <c r="Q19" s="53">
        <f t="shared" ref="Q19:Q26" si="11">N19^2*2-6.7*N19+60</f>
        <v>69.240000000000009</v>
      </c>
      <c r="R19" s="52"/>
      <c r="S19" s="52"/>
    </row>
    <row r="20" spans="1:19" x14ac:dyDescent="0.25">
      <c r="A20" s="52" t="s">
        <v>330</v>
      </c>
      <c r="B20" s="52"/>
      <c r="C20" s="52"/>
      <c r="D20" s="52">
        <f>(2-(2*AREAFAC)*(AVAREA-(ROOMNO*AVROOM)))*((2/AVHH)*EXP(HECO*OCCNORM))</f>
        <v>1.7391304347826093</v>
      </c>
      <c r="E20" s="52"/>
      <c r="F20" s="52">
        <v>1.284</v>
      </c>
      <c r="G20" s="52"/>
      <c r="H20" s="52"/>
      <c r="I20" s="52"/>
      <c r="J20" s="52"/>
      <c r="K20" s="52"/>
      <c r="L20" s="52"/>
      <c r="M20" s="52">
        <v>3</v>
      </c>
      <c r="N20">
        <f t="shared" si="9"/>
        <v>6.0000000000000009</v>
      </c>
      <c r="O20" s="52">
        <f t="shared" si="10"/>
        <v>87.300000000000011</v>
      </c>
      <c r="P20" s="53">
        <f t="shared" ref="P20:P26" si="12">0.034*O20</f>
        <v>2.9682000000000004</v>
      </c>
      <c r="Q20" s="53">
        <f t="shared" si="11"/>
        <v>91.800000000000011</v>
      </c>
      <c r="R20" s="52"/>
      <c r="S20" s="52"/>
    </row>
    <row r="21" spans="1:19" x14ac:dyDescent="0.25">
      <c r="A21" s="52" t="s">
        <v>458</v>
      </c>
      <c r="B21" s="52"/>
      <c r="C21" s="52"/>
      <c r="D21" s="52"/>
      <c r="E21" s="52"/>
      <c r="F21" s="52"/>
      <c r="G21" s="52"/>
      <c r="H21" s="52"/>
      <c r="I21" s="52"/>
      <c r="J21" s="52"/>
      <c r="K21" s="52"/>
      <c r="L21" s="52"/>
      <c r="M21" s="52">
        <v>4</v>
      </c>
      <c r="N21">
        <f t="shared" si="9"/>
        <v>7.6000000000000005</v>
      </c>
      <c r="O21" s="52">
        <f t="shared" si="10"/>
        <v>115.78</v>
      </c>
      <c r="P21" s="53">
        <f t="shared" si="12"/>
        <v>3.9365200000000002</v>
      </c>
      <c r="Q21" s="53">
        <f t="shared" si="11"/>
        <v>124.60000000000001</v>
      </c>
      <c r="R21" s="52"/>
      <c r="S21" s="52"/>
    </row>
    <row r="22" spans="1:19" x14ac:dyDescent="0.25">
      <c r="M22">
        <v>5</v>
      </c>
      <c r="N22">
        <f t="shared" si="9"/>
        <v>9.1999999999999993</v>
      </c>
      <c r="O22" s="52">
        <f t="shared" si="10"/>
        <v>153.21999999999997</v>
      </c>
      <c r="P22" s="3">
        <f t="shared" si="12"/>
        <v>5.2094799999999992</v>
      </c>
      <c r="Q22" s="53">
        <f t="shared" si="11"/>
        <v>167.64</v>
      </c>
      <c r="R22" s="52"/>
    </row>
    <row r="23" spans="1:19" x14ac:dyDescent="0.25">
      <c r="A23" s="1" t="s">
        <v>450</v>
      </c>
      <c r="M23">
        <v>6</v>
      </c>
      <c r="N23">
        <f t="shared" si="9"/>
        <v>10.8</v>
      </c>
      <c r="O23" s="52">
        <f t="shared" si="10"/>
        <v>199.62</v>
      </c>
      <c r="P23" s="3">
        <f t="shared" si="12"/>
        <v>6.7870800000000004</v>
      </c>
      <c r="Q23" s="53">
        <f t="shared" si="11"/>
        <v>220.92000000000002</v>
      </c>
      <c r="R23" s="52"/>
      <c r="S23">
        <f>R23*0.033</f>
        <v>0</v>
      </c>
    </row>
    <row r="24" spans="1:19" x14ac:dyDescent="0.25">
      <c r="A24" t="s">
        <v>452</v>
      </c>
      <c r="D24" t="s">
        <v>453</v>
      </c>
      <c r="M24">
        <v>7</v>
      </c>
      <c r="N24">
        <f t="shared" si="9"/>
        <v>12.4</v>
      </c>
      <c r="O24" s="52">
        <f t="shared" si="10"/>
        <v>254.98000000000002</v>
      </c>
      <c r="P24" s="3">
        <f t="shared" si="12"/>
        <v>8.6693200000000008</v>
      </c>
      <c r="Q24" s="53">
        <f t="shared" si="11"/>
        <v>284.44000000000005</v>
      </c>
      <c r="R24" s="52"/>
    </row>
    <row r="25" spans="1:19" x14ac:dyDescent="0.25">
      <c r="A25">
        <v>1</v>
      </c>
      <c r="B25">
        <v>2</v>
      </c>
      <c r="C25">
        <v>3</v>
      </c>
      <c r="D25">
        <v>1</v>
      </c>
      <c r="E25">
        <v>2</v>
      </c>
      <c r="F25">
        <v>3</v>
      </c>
      <c r="G25">
        <v>4</v>
      </c>
      <c r="H25">
        <v>5</v>
      </c>
      <c r="J25" t="s">
        <v>671</v>
      </c>
      <c r="M25">
        <v>8</v>
      </c>
      <c r="N25">
        <f t="shared" si="9"/>
        <v>14</v>
      </c>
      <c r="O25" s="52">
        <f t="shared" si="10"/>
        <v>319.3</v>
      </c>
      <c r="P25" s="3">
        <f t="shared" si="12"/>
        <v>10.856200000000001</v>
      </c>
      <c r="Q25" s="53">
        <f t="shared" si="11"/>
        <v>358.2</v>
      </c>
      <c r="R25" s="52"/>
    </row>
    <row r="26" spans="1:19" x14ac:dyDescent="0.25">
      <c r="A26">
        <v>46</v>
      </c>
      <c r="B26">
        <v>59</v>
      </c>
      <c r="C26">
        <v>89</v>
      </c>
      <c r="D26">
        <v>69</v>
      </c>
      <c r="E26">
        <v>69</v>
      </c>
      <c r="F26">
        <v>92</v>
      </c>
      <c r="G26">
        <v>117</v>
      </c>
      <c r="H26">
        <v>159</v>
      </c>
      <c r="J26" t="s">
        <v>672</v>
      </c>
      <c r="M26">
        <v>9</v>
      </c>
      <c r="N26">
        <f t="shared" si="9"/>
        <v>15.6</v>
      </c>
      <c r="O26" s="52">
        <f t="shared" si="10"/>
        <v>392.58</v>
      </c>
      <c r="P26" s="3">
        <f t="shared" si="12"/>
        <v>13.347720000000001</v>
      </c>
      <c r="Q26" s="53">
        <f t="shared" si="11"/>
        <v>442.2</v>
      </c>
      <c r="R26" s="52"/>
    </row>
    <row r="27" spans="1:19" x14ac:dyDescent="0.25">
      <c r="A27" t="s">
        <v>451</v>
      </c>
    </row>
    <row r="28" spans="1:19" x14ac:dyDescent="0.25">
      <c r="A28" t="s">
        <v>454</v>
      </c>
    </row>
    <row r="29" spans="1:19" x14ac:dyDescent="0.25">
      <c r="A29" t="s">
        <v>455</v>
      </c>
    </row>
    <row r="30" spans="1:19" x14ac:dyDescent="0.25">
      <c r="A30" t="s">
        <v>456</v>
      </c>
    </row>
    <row r="31" spans="1:19" x14ac:dyDescent="0.25">
      <c r="A31" t="s">
        <v>457</v>
      </c>
    </row>
    <row r="32" spans="1:19" x14ac:dyDescent="0.25">
      <c r="A32">
        <v>1</v>
      </c>
      <c r="B32">
        <v>2</v>
      </c>
      <c r="C32">
        <v>3</v>
      </c>
      <c r="D32">
        <v>1</v>
      </c>
      <c r="E32">
        <v>2</v>
      </c>
      <c r="F32">
        <v>3</v>
      </c>
      <c r="G32">
        <v>4</v>
      </c>
      <c r="H32">
        <v>5</v>
      </c>
    </row>
    <row r="33" spans="1:8" x14ac:dyDescent="0.25">
      <c r="A33">
        <f>1+A25*1.6</f>
        <v>2.6</v>
      </c>
      <c r="B33">
        <f t="shared" ref="B33:H33" si="13">1+B25*1.6</f>
        <v>4.2</v>
      </c>
      <c r="C33">
        <f t="shared" si="13"/>
        <v>5.8000000000000007</v>
      </c>
      <c r="D33">
        <f t="shared" si="13"/>
        <v>2.6</v>
      </c>
      <c r="E33">
        <f t="shared" si="13"/>
        <v>4.2</v>
      </c>
      <c r="F33">
        <f t="shared" si="13"/>
        <v>5.8000000000000007</v>
      </c>
      <c r="G33">
        <f t="shared" si="13"/>
        <v>7.4</v>
      </c>
      <c r="H33">
        <f t="shared" si="13"/>
        <v>9</v>
      </c>
    </row>
    <row r="34" spans="1:8" x14ac:dyDescent="0.25">
      <c r="A34">
        <v>46</v>
      </c>
      <c r="B34">
        <v>59</v>
      </c>
      <c r="C34">
        <v>89</v>
      </c>
      <c r="D34">
        <v>69</v>
      </c>
      <c r="E34">
        <v>69</v>
      </c>
      <c r="F34">
        <v>92</v>
      </c>
      <c r="G34">
        <v>117</v>
      </c>
      <c r="H34">
        <v>159</v>
      </c>
    </row>
    <row r="36" spans="1:8" x14ac:dyDescent="0.25">
      <c r="A36" t="s">
        <v>552</v>
      </c>
    </row>
    <row r="37" spans="1:8" x14ac:dyDescent="0.25">
      <c r="B37" s="5">
        <f>1.968*ROOMNO^2-6.764*ROOMNO+60.74</f>
        <v>91.004000000000019</v>
      </c>
      <c r="C37" t="s">
        <v>553</v>
      </c>
      <c r="F37" t="s">
        <v>673</v>
      </c>
    </row>
    <row r="38" spans="1:8" x14ac:dyDescent="0.25">
      <c r="B38" s="33">
        <v>3</v>
      </c>
      <c r="C38" t="s">
        <v>555</v>
      </c>
    </row>
  </sheetData>
  <hyperlinks>
    <hyperlink ref="A23" r:id="rId1"/>
  </hyperlinks>
  <pageMargins left="0.7" right="0.7" top="0.75" bottom="0.75" header="0.3" footer="0.3"/>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5"/>
  <sheetViews>
    <sheetView topLeftCell="A13" workbookViewId="0">
      <selection activeCell="N29" sqref="N29"/>
    </sheetView>
  </sheetViews>
  <sheetFormatPr defaultRowHeight="15" x14ac:dyDescent="0.25"/>
  <sheetData>
    <row r="2" spans="1:17" x14ac:dyDescent="0.25">
      <c r="B2" t="s">
        <v>126</v>
      </c>
    </row>
    <row r="3" spans="1:17" x14ac:dyDescent="0.25">
      <c r="B3" t="s">
        <v>127</v>
      </c>
    </row>
    <row r="4" spans="1:17" x14ac:dyDescent="0.25">
      <c r="B4" t="s">
        <v>128</v>
      </c>
    </row>
    <row r="5" spans="1:17" x14ac:dyDescent="0.25">
      <c r="B5" t="s">
        <v>129</v>
      </c>
      <c r="H5" t="s">
        <v>143</v>
      </c>
      <c r="K5" t="s">
        <v>144</v>
      </c>
    </row>
    <row r="6" spans="1:17" x14ac:dyDescent="0.25">
      <c r="H6" t="s">
        <v>145</v>
      </c>
      <c r="K6" t="s">
        <v>146</v>
      </c>
    </row>
    <row r="7" spans="1:17" x14ac:dyDescent="0.25">
      <c r="B7" t="s">
        <v>158</v>
      </c>
      <c r="G7" t="s">
        <v>185</v>
      </c>
    </row>
    <row r="8" spans="1:17" x14ac:dyDescent="0.25">
      <c r="B8" t="s">
        <v>159</v>
      </c>
      <c r="H8" t="s">
        <v>160</v>
      </c>
    </row>
    <row r="9" spans="1:17" x14ac:dyDescent="0.25">
      <c r="B9" t="s">
        <v>161</v>
      </c>
    </row>
    <row r="10" spans="1:17" x14ac:dyDescent="0.25">
      <c r="B10" t="s">
        <v>162</v>
      </c>
      <c r="H10" t="s">
        <v>181</v>
      </c>
      <c r="Q10" t="s">
        <v>182</v>
      </c>
    </row>
    <row r="12" spans="1:17" x14ac:dyDescent="0.25">
      <c r="E12">
        <f t="shared" ref="E12:L12" si="0">SUM(E18:E19)/2</f>
        <v>5.3625000000000007</v>
      </c>
      <c r="F12">
        <f t="shared" si="0"/>
        <v>4.2751339251550577</v>
      </c>
      <c r="G12">
        <f t="shared" si="0"/>
        <v>3.7934128743664859</v>
      </c>
      <c r="H12">
        <f t="shared" si="0"/>
        <v>3.5062500000000005</v>
      </c>
      <c r="I12">
        <f t="shared" si="0"/>
        <v>3.3102804732935942</v>
      </c>
      <c r="J12">
        <f t="shared" si="0"/>
        <v>3.1656217783470924</v>
      </c>
      <c r="K12">
        <f t="shared" si="0"/>
        <v>3.0531931060467565</v>
      </c>
      <c r="L12">
        <f t="shared" si="0"/>
        <v>2.9625669625775286</v>
      </c>
    </row>
    <row r="13" spans="1:17" x14ac:dyDescent="0.25">
      <c r="B13" t="s">
        <v>175</v>
      </c>
      <c r="E13">
        <v>1</v>
      </c>
      <c r="F13">
        <v>2</v>
      </c>
      <c r="G13">
        <v>3</v>
      </c>
      <c r="H13">
        <v>4</v>
      </c>
      <c r="I13">
        <v>5</v>
      </c>
      <c r="J13">
        <v>6</v>
      </c>
      <c r="K13">
        <v>7</v>
      </c>
      <c r="L13">
        <v>8</v>
      </c>
    </row>
    <row r="14" spans="1:17" x14ac:dyDescent="0.25">
      <c r="E14">
        <v>1.4</v>
      </c>
      <c r="F14">
        <v>0.4</v>
      </c>
      <c r="G14">
        <v>-0.6</v>
      </c>
      <c r="H14">
        <v>-1.6</v>
      </c>
      <c r="I14">
        <v>-2.6</v>
      </c>
      <c r="J14">
        <v>-3.6</v>
      </c>
      <c r="K14">
        <v>-4.5999999999999996</v>
      </c>
      <c r="L14">
        <v>-5.6</v>
      </c>
    </row>
    <row r="15" spans="1:17" x14ac:dyDescent="0.25">
      <c r="A15">
        <v>2.37</v>
      </c>
      <c r="B15" t="s">
        <v>152</v>
      </c>
      <c r="D15" s="10">
        <v>0.2</v>
      </c>
      <c r="E15" s="3">
        <f t="shared" ref="E15:L15" si="1">2.37*EXP(0.2*E14)</f>
        <v>3.1358176552397254</v>
      </c>
      <c r="F15" s="3">
        <f t="shared" si="1"/>
        <v>2.567390350389652</v>
      </c>
      <c r="G15" s="3">
        <f t="shared" si="1"/>
        <v>2.1020014350196634</v>
      </c>
      <c r="H15" s="3">
        <f t="shared" si="1"/>
        <v>1.7209732178646473</v>
      </c>
      <c r="I15" s="3">
        <f t="shared" si="1"/>
        <v>1.4090136986893607</v>
      </c>
      <c r="J15" s="3">
        <f t="shared" si="1"/>
        <v>1.1536028466251329</v>
      </c>
      <c r="K15" s="3">
        <f t="shared" si="1"/>
        <v>0.94449012737029869</v>
      </c>
      <c r="L15" s="3">
        <f t="shared" si="1"/>
        <v>0.7732831132566037</v>
      </c>
      <c r="M15" t="s">
        <v>148</v>
      </c>
    </row>
    <row r="16" spans="1:17" x14ac:dyDescent="0.25">
      <c r="A16">
        <v>5.88</v>
      </c>
      <c r="B16" t="s">
        <v>153</v>
      </c>
      <c r="D16">
        <v>0.2</v>
      </c>
      <c r="E16" s="3">
        <f t="shared" ref="E16:L16" si="2">5.88*EXP(0.2*E14)</f>
        <v>7.7800032965441286</v>
      </c>
      <c r="F16" s="3">
        <f t="shared" si="2"/>
        <v>6.3697279579287569</v>
      </c>
      <c r="G16" s="3">
        <f t="shared" si="2"/>
        <v>5.215092167896886</v>
      </c>
      <c r="H16" s="3">
        <f t="shared" si="2"/>
        <v>4.2697563379933019</v>
      </c>
      <c r="I16" s="3">
        <f t="shared" si="2"/>
        <v>3.4957808220647428</v>
      </c>
      <c r="J16" s="3">
        <f t="shared" si="2"/>
        <v>2.8621032650446332</v>
      </c>
      <c r="K16" s="3">
        <f t="shared" si="2"/>
        <v>2.3432919615769432</v>
      </c>
      <c r="L16" s="3">
        <f t="shared" si="2"/>
        <v>1.9185251923834723</v>
      </c>
      <c r="M16" t="s">
        <v>149</v>
      </c>
    </row>
    <row r="17" spans="1:19" x14ac:dyDescent="0.25">
      <c r="D17">
        <v>0.15</v>
      </c>
      <c r="E17" s="3">
        <f>2.37*EXP(0.15*E14)</f>
        <v>2.9238170020974814</v>
      </c>
      <c r="F17" s="3">
        <f t="shared" ref="F17:L17" si="3">2.37*EXP(0.15*F14)</f>
        <v>2.5165526153125026</v>
      </c>
      <c r="G17" s="3">
        <f t="shared" si="3"/>
        <v>2.1660169090928107</v>
      </c>
      <c r="H17" s="3">
        <f t="shared" si="3"/>
        <v>1.8643080307277318</v>
      </c>
      <c r="I17" s="3">
        <f t="shared" si="3"/>
        <v>1.6046247925606503</v>
      </c>
      <c r="J17" s="3">
        <f t="shared" si="3"/>
        <v>1.3811133581263555</v>
      </c>
      <c r="K17" s="3">
        <f t="shared" si="3"/>
        <v>1.1887352836865517</v>
      </c>
      <c r="L17" s="3">
        <f t="shared" si="3"/>
        <v>1.023153940526919</v>
      </c>
      <c r="M17" t="s">
        <v>157</v>
      </c>
      <c r="N17">
        <f>2.37*EXP(0.15*2.4)+0.4</f>
        <v>3.796990712508006</v>
      </c>
      <c r="Q17">
        <f>H15/L15</f>
        <v>2.225540928492467</v>
      </c>
      <c r="R17">
        <f>L17/H17</f>
        <v>0.54881163609402639</v>
      </c>
    </row>
    <row r="18" spans="1:19" x14ac:dyDescent="0.25">
      <c r="A18" t="s">
        <v>147</v>
      </c>
      <c r="D18" t="s">
        <v>176</v>
      </c>
      <c r="E18" s="3">
        <f t="shared" ref="E18:L18" si="4">2.37*(0.4+0.9/E13^0.5)</f>
        <v>3.0810000000000004</v>
      </c>
      <c r="F18" s="3">
        <f t="shared" si="4"/>
        <v>2.4562587642709062</v>
      </c>
      <c r="G18" s="3">
        <f t="shared" si="4"/>
        <v>2.1794881241814719</v>
      </c>
      <c r="H18" s="3">
        <f t="shared" si="4"/>
        <v>2.0145000000000004</v>
      </c>
      <c r="I18" s="3">
        <f t="shared" si="4"/>
        <v>1.9019065992014106</v>
      </c>
      <c r="J18" s="3">
        <f t="shared" si="4"/>
        <v>1.8187936035594203</v>
      </c>
      <c r="K18" s="3">
        <f t="shared" si="4"/>
        <v>1.7541982209286817</v>
      </c>
      <c r="L18" s="3">
        <f t="shared" si="4"/>
        <v>1.7021293821354528</v>
      </c>
      <c r="Q18">
        <f>H15/F15</f>
        <v>0.67032004603563911</v>
      </c>
      <c r="R18">
        <f>J15/G15</f>
        <v>0.5488116360940265</v>
      </c>
    </row>
    <row r="19" spans="1:19" x14ac:dyDescent="0.25">
      <c r="D19" t="s">
        <v>177</v>
      </c>
      <c r="E19" s="3">
        <f t="shared" ref="E19:L19" si="5">5.88*(0.4+0.9/E13^0.5)</f>
        <v>7.6440000000000001</v>
      </c>
      <c r="F19" s="3">
        <f t="shared" si="5"/>
        <v>6.0940090860392093</v>
      </c>
      <c r="G19" s="3">
        <f t="shared" si="5"/>
        <v>5.4073376245515004</v>
      </c>
      <c r="H19" s="3">
        <f t="shared" si="5"/>
        <v>4.9980000000000002</v>
      </c>
      <c r="I19" s="3">
        <f t="shared" si="5"/>
        <v>4.7186543473857778</v>
      </c>
      <c r="J19" s="3">
        <f t="shared" si="5"/>
        <v>4.5124499531347642</v>
      </c>
      <c r="K19" s="3">
        <f t="shared" si="5"/>
        <v>4.3521879911648309</v>
      </c>
      <c r="L19" s="3">
        <f t="shared" si="5"/>
        <v>4.2230045430196048</v>
      </c>
      <c r="Q19">
        <f>H18/F18</f>
        <v>0.82014974533758722</v>
      </c>
      <c r="R19">
        <f>J18/G18</f>
        <v>0.83450493874220399</v>
      </c>
    </row>
    <row r="20" spans="1:19" x14ac:dyDescent="0.25">
      <c r="O20" t="s">
        <v>151</v>
      </c>
      <c r="Q20">
        <f>1/Q18</f>
        <v>1.4918246976412708</v>
      </c>
      <c r="R20">
        <f>1/R18</f>
        <v>1.8221188003905087</v>
      </c>
      <c r="S20" t="s">
        <v>154</v>
      </c>
    </row>
    <row r="21" spans="1:19" x14ac:dyDescent="0.25">
      <c r="F21" t="s">
        <v>138</v>
      </c>
      <c r="G21" t="s">
        <v>137</v>
      </c>
      <c r="H21" t="s">
        <v>139</v>
      </c>
      <c r="I21" t="s">
        <v>178</v>
      </c>
      <c r="O21" t="s">
        <v>150</v>
      </c>
      <c r="Q21">
        <f>1/Q19</f>
        <v>1.2192895330210503</v>
      </c>
      <c r="R21">
        <f>1/R19</f>
        <v>1.19831525683627</v>
      </c>
      <c r="S21" t="s">
        <v>155</v>
      </c>
    </row>
    <row r="22" spans="1:19" x14ac:dyDescent="0.25">
      <c r="E22" t="s">
        <v>110</v>
      </c>
      <c r="F22" s="3">
        <v>2.0655999999999999</v>
      </c>
      <c r="G22" s="3">
        <v>2.1541666666666668</v>
      </c>
      <c r="H22" s="3">
        <v>1.61</v>
      </c>
      <c r="I22" s="3">
        <v>1.43</v>
      </c>
      <c r="K22" s="3">
        <v>5.17</v>
      </c>
    </row>
    <row r="23" spans="1:19" x14ac:dyDescent="0.25">
      <c r="E23" t="s">
        <v>111</v>
      </c>
      <c r="F23" s="3">
        <v>0.90500000000000003</v>
      </c>
      <c r="G23" s="3">
        <v>1.7166666666666668</v>
      </c>
      <c r="H23" s="3">
        <v>2.2698</v>
      </c>
      <c r="I23" s="3">
        <v>3.7680000000000002</v>
      </c>
      <c r="K23" s="3">
        <v>3.09</v>
      </c>
    </row>
    <row r="24" spans="1:19" x14ac:dyDescent="0.25">
      <c r="E24" t="s">
        <v>112</v>
      </c>
      <c r="F24" s="3">
        <v>0.85950499999999996</v>
      </c>
      <c r="G24" s="3">
        <v>2.625</v>
      </c>
      <c r="H24" s="3">
        <v>2.6672000000000002</v>
      </c>
      <c r="I24" s="3">
        <v>3.5185000000000004</v>
      </c>
      <c r="K24" s="3">
        <v>4.7249999999999996</v>
      </c>
    </row>
    <row r="25" spans="1:19" x14ac:dyDescent="0.25">
      <c r="E25" t="s">
        <v>39</v>
      </c>
      <c r="F25" s="3">
        <v>0.90920000000000001</v>
      </c>
      <c r="G25" s="3">
        <v>2.875</v>
      </c>
      <c r="H25" s="3">
        <v>2.4515140000000004</v>
      </c>
      <c r="I25" s="3">
        <v>2.7894000000000005</v>
      </c>
      <c r="K25" s="3">
        <v>5.8650000000000002</v>
      </c>
    </row>
    <row r="26" spans="1:19" x14ac:dyDescent="0.25">
      <c r="E26" t="s">
        <v>113</v>
      </c>
      <c r="F26" s="3">
        <v>1.5891389999999999</v>
      </c>
      <c r="G26" s="3">
        <v>3.2541666666666669</v>
      </c>
      <c r="H26" s="3">
        <v>5.4948589999999999</v>
      </c>
      <c r="I26" s="3">
        <v>11.911339000000002</v>
      </c>
      <c r="K26" s="3">
        <v>3.5145</v>
      </c>
    </row>
    <row r="27" spans="1:19" ht="15.75" thickBot="1" x14ac:dyDescent="0.3">
      <c r="E27" t="s">
        <v>109</v>
      </c>
      <c r="F27" s="3">
        <v>2.37</v>
      </c>
      <c r="G27" s="3">
        <v>2.3666666666666671</v>
      </c>
      <c r="H27" s="3">
        <v>4.5095000000000001</v>
      </c>
      <c r="I27" s="3">
        <v>5.84</v>
      </c>
      <c r="K27" s="3">
        <v>5.875</v>
      </c>
    </row>
    <row r="28" spans="1:19" ht="15.75" thickBot="1" x14ac:dyDescent="0.3">
      <c r="A28" t="s">
        <v>186</v>
      </c>
      <c r="C28" s="17"/>
      <c r="D28" s="18" t="s">
        <v>184</v>
      </c>
      <c r="E28" s="18"/>
      <c r="F28" s="18"/>
      <c r="G28" s="18"/>
      <c r="H28" s="18"/>
      <c r="I28" s="18"/>
      <c r="J28" s="18"/>
      <c r="K28" s="18"/>
      <c r="L28" s="19"/>
    </row>
    <row r="29" spans="1:19" x14ac:dyDescent="0.25">
      <c r="A29" t="s">
        <v>183</v>
      </c>
      <c r="C29" s="20" t="s">
        <v>110</v>
      </c>
      <c r="D29" s="28">
        <v>0</v>
      </c>
      <c r="E29" s="21">
        <f>2.15*EXP(D29*E14)</f>
        <v>2.15</v>
      </c>
      <c r="F29" s="21">
        <f t="shared" ref="F29:L29" si="6">2.15*EXP(0*F14)</f>
        <v>2.15</v>
      </c>
      <c r="G29" s="21">
        <f t="shared" si="6"/>
        <v>2.15</v>
      </c>
      <c r="H29" s="21">
        <f t="shared" si="6"/>
        <v>2.15</v>
      </c>
      <c r="I29" s="21">
        <f t="shared" si="6"/>
        <v>2.15</v>
      </c>
      <c r="J29" s="21">
        <f t="shared" si="6"/>
        <v>2.15</v>
      </c>
      <c r="K29" s="21">
        <f t="shared" si="6"/>
        <v>2.15</v>
      </c>
      <c r="L29" s="22">
        <f t="shared" si="6"/>
        <v>2.15</v>
      </c>
    </row>
    <row r="30" spans="1:19" x14ac:dyDescent="0.25">
      <c r="C30" s="20" t="s">
        <v>111</v>
      </c>
      <c r="D30" s="29">
        <v>0.08</v>
      </c>
      <c r="E30" s="23">
        <f>1.72*EXP($D$30*E14)</f>
        <v>1.9238421203094778</v>
      </c>
      <c r="F30" s="23">
        <f t="shared" ref="F30:L30" si="7">1.72*EXP($D$30*F14)</f>
        <v>1.7759301091248034</v>
      </c>
      <c r="G30" s="23">
        <f t="shared" si="7"/>
        <v>1.639390113773308</v>
      </c>
      <c r="H30" s="23">
        <f t="shared" si="7"/>
        <v>1.5133478121287873</v>
      </c>
      <c r="I30" s="23">
        <f t="shared" si="7"/>
        <v>1.396996103144535</v>
      </c>
      <c r="J30" s="23">
        <f t="shared" si="7"/>
        <v>1.2895899386511509</v>
      </c>
      <c r="K30" s="23">
        <f t="shared" si="7"/>
        <v>1.1904415525046161</v>
      </c>
      <c r="L30" s="23">
        <f t="shared" si="7"/>
        <v>1.0989160565348959</v>
      </c>
      <c r="M30" s="8"/>
    </row>
    <row r="31" spans="1:19" x14ac:dyDescent="0.25">
      <c r="A31" t="s">
        <v>188</v>
      </c>
      <c r="C31" s="20" t="s">
        <v>112</v>
      </c>
      <c r="D31" s="29">
        <v>0.15</v>
      </c>
      <c r="E31" s="23">
        <f>2.63*EXP($D$31*E14)</f>
        <v>3.2445732976862343</v>
      </c>
      <c r="F31" s="23">
        <f t="shared" ref="F31:L31" si="8">2.63*EXP($D$31*F14)</f>
        <v>2.7926301174142956</v>
      </c>
      <c r="G31" s="23">
        <f t="shared" si="8"/>
        <v>2.40363901726333</v>
      </c>
      <c r="H31" s="23">
        <f t="shared" si="8"/>
        <v>2.0688312746050355</v>
      </c>
      <c r="I31" s="23">
        <f t="shared" si="8"/>
        <v>1.780659579930173</v>
      </c>
      <c r="J31" s="23">
        <f t="shared" si="8"/>
        <v>1.5326279037435926</v>
      </c>
      <c r="K31" s="23">
        <f t="shared" si="8"/>
        <v>1.3191450616437261</v>
      </c>
      <c r="L31" s="24">
        <f t="shared" si="8"/>
        <v>1.1353986766184796</v>
      </c>
      <c r="M31" s="8"/>
    </row>
    <row r="32" spans="1:19" x14ac:dyDescent="0.25">
      <c r="A32" t="s">
        <v>189</v>
      </c>
      <c r="C32" s="20" t="s">
        <v>39</v>
      </c>
      <c r="D32" s="29">
        <v>0.12</v>
      </c>
      <c r="E32" s="23">
        <f>2.88*EXP($D$32*E14)</f>
        <v>3.4068574386656949</v>
      </c>
      <c r="F32" s="23">
        <f t="shared" ref="F32:L32" si="9">2.88*EXP($D$32*F14)</f>
        <v>3.0216114873344755</v>
      </c>
      <c r="G32" s="23">
        <f t="shared" si="9"/>
        <v>2.6799289799362724</v>
      </c>
      <c r="H32" s="23">
        <f t="shared" si="9"/>
        <v>2.376883781256045</v>
      </c>
      <c r="I32" s="23">
        <f t="shared" si="9"/>
        <v>2.1081068012975401</v>
      </c>
      <c r="J32" s="23">
        <f t="shared" si="9"/>
        <v>1.8697230048532245</v>
      </c>
      <c r="K32" s="23">
        <f t="shared" si="9"/>
        <v>1.6582955440045379</v>
      </c>
      <c r="L32" s="24">
        <f t="shared" si="9"/>
        <v>1.470776208094621</v>
      </c>
    </row>
    <row r="33" spans="3:13" x14ac:dyDescent="0.25">
      <c r="C33" s="20" t="s">
        <v>113</v>
      </c>
      <c r="D33" s="29">
        <v>2.5000000000000001E-2</v>
      </c>
      <c r="E33" s="23">
        <f>3.25*EXP($D$33*E14)</f>
        <v>3.3657640535987756</v>
      </c>
      <c r="F33" s="23">
        <f t="shared" ref="F33:L33" si="10">3.25*EXP($D$33*F14)</f>
        <v>3.2826630430235459</v>
      </c>
      <c r="G33" s="23">
        <f t="shared" si="10"/>
        <v>3.2016138037099537</v>
      </c>
      <c r="H33" s="23">
        <f t="shared" si="10"/>
        <v>3.1225656772450505</v>
      </c>
      <c r="I33" s="23">
        <f t="shared" si="10"/>
        <v>3.045469255976561</v>
      </c>
      <c r="J33" s="23">
        <f t="shared" si="10"/>
        <v>2.9702763521314917</v>
      </c>
      <c r="K33" s="23">
        <f t="shared" si="10"/>
        <v>2.8969399676972016</v>
      </c>
      <c r="L33" s="23">
        <f t="shared" si="10"/>
        <v>2.8254142650461191</v>
      </c>
    </row>
    <row r="34" spans="3:13" ht="15.75" thickBot="1" x14ac:dyDescent="0.3">
      <c r="C34" s="20" t="s">
        <v>109</v>
      </c>
      <c r="D34" s="30">
        <v>0.35</v>
      </c>
      <c r="E34" s="23">
        <f>2.37*EXP($D$34*E14)</f>
        <v>3.8685894412942483</v>
      </c>
      <c r="F34" s="23">
        <f t="shared" ref="F34:L34" si="11">2.37*EXP($D$34*F14)</f>
        <v>2.7261489032916288</v>
      </c>
      <c r="G34" s="23">
        <f t="shared" si="11"/>
        <v>1.9210846629493434</v>
      </c>
      <c r="H34" s="23">
        <f t="shared" si="11"/>
        <v>1.3537654813216913</v>
      </c>
      <c r="I34" s="23">
        <f t="shared" si="11"/>
        <v>0.95398241095971748</v>
      </c>
      <c r="J34" s="23">
        <f t="shared" si="11"/>
        <v>0.67226004280445584</v>
      </c>
      <c r="K34" s="23">
        <f t="shared" si="11"/>
        <v>0.47373364535809254</v>
      </c>
      <c r="L34" s="23">
        <f t="shared" si="11"/>
        <v>0.33383445758287672</v>
      </c>
    </row>
    <row r="35" spans="3:13" x14ac:dyDescent="0.25">
      <c r="C35" s="20"/>
      <c r="D35" s="21"/>
      <c r="E35" s="21"/>
      <c r="F35" s="21"/>
      <c r="G35" s="21"/>
      <c r="H35" s="21"/>
      <c r="I35" s="21"/>
      <c r="J35" s="21"/>
      <c r="K35" s="21"/>
      <c r="L35" s="22"/>
    </row>
    <row r="36" spans="3:13" x14ac:dyDescent="0.25">
      <c r="C36" s="20"/>
      <c r="D36" s="21"/>
      <c r="E36" s="21">
        <f t="shared" ref="E36:L36" si="12">SUM(E29:E35)</f>
        <v>17.95962635155443</v>
      </c>
      <c r="F36" s="21">
        <f t="shared" si="12"/>
        <v>15.748983660188747</v>
      </c>
      <c r="G36" s="21">
        <f t="shared" si="12"/>
        <v>13.995656577632209</v>
      </c>
      <c r="H36" s="21">
        <f t="shared" si="12"/>
        <v>12.585394026556608</v>
      </c>
      <c r="I36" s="21">
        <f t="shared" si="12"/>
        <v>11.435214151308527</v>
      </c>
      <c r="J36" s="21">
        <f t="shared" si="12"/>
        <v>10.484477242183916</v>
      </c>
      <c r="K36" s="21">
        <f t="shared" si="12"/>
        <v>9.6885557712081756</v>
      </c>
      <c r="L36" s="22">
        <f t="shared" si="12"/>
        <v>9.0143396638769904</v>
      </c>
      <c r="M36" t="s">
        <v>187</v>
      </c>
    </row>
    <row r="37" spans="3:13" ht="15.75" thickBot="1" x14ac:dyDescent="0.3">
      <c r="C37" s="25"/>
      <c r="D37" s="26"/>
      <c r="E37" s="26">
        <v>1.4</v>
      </c>
      <c r="F37" s="26">
        <v>0.4</v>
      </c>
      <c r="G37" s="26">
        <v>-0.6</v>
      </c>
      <c r="H37" s="26">
        <v>-1.6</v>
      </c>
      <c r="I37" s="26">
        <v>-2.6</v>
      </c>
      <c r="J37" s="26">
        <v>-3.6</v>
      </c>
      <c r="K37" s="26">
        <v>-4.5999999999999996</v>
      </c>
      <c r="L37" s="27">
        <v>-5.6</v>
      </c>
    </row>
    <row r="40" spans="3:13" ht="15.75" thickBot="1" x14ac:dyDescent="0.3">
      <c r="E40" s="26">
        <v>1.4</v>
      </c>
      <c r="F40" s="26">
        <v>0.4</v>
      </c>
      <c r="G40" s="26">
        <v>-0.6</v>
      </c>
      <c r="H40" s="26">
        <v>-1.6</v>
      </c>
      <c r="I40" s="26">
        <v>-2.6</v>
      </c>
      <c r="J40" s="26">
        <v>-3.6</v>
      </c>
      <c r="K40" s="26">
        <v>-4.5999999999999996</v>
      </c>
      <c r="L40" s="27">
        <v>-5.6</v>
      </c>
    </row>
    <row r="41" spans="3:13" x14ac:dyDescent="0.25">
      <c r="E41" s="3">
        <v>3.2445732976862343</v>
      </c>
      <c r="F41" s="3">
        <v>2.7926301174142956</v>
      </c>
      <c r="G41" s="3">
        <v>2.40363901726333</v>
      </c>
      <c r="H41" s="3">
        <v>2.0688312746050355</v>
      </c>
      <c r="I41" s="3">
        <v>1.780659579930173</v>
      </c>
      <c r="J41" s="3">
        <v>1.5326279037435926</v>
      </c>
      <c r="K41" s="3">
        <v>1.3191450616437261</v>
      </c>
      <c r="L41" s="3">
        <v>1.1353986766184796</v>
      </c>
    </row>
    <row r="42" spans="3:13" x14ac:dyDescent="0.25">
      <c r="E42" s="3"/>
      <c r="F42" s="3"/>
      <c r="G42" s="3"/>
      <c r="H42" s="3"/>
      <c r="I42" s="3"/>
      <c r="J42" s="3"/>
      <c r="K42" s="3"/>
      <c r="L42" s="3"/>
    </row>
    <row r="43" spans="3:13" x14ac:dyDescent="0.25">
      <c r="E43" s="3"/>
      <c r="F43" s="3"/>
      <c r="G43" s="3"/>
      <c r="H43" s="3"/>
      <c r="I43" s="3"/>
      <c r="J43" s="3"/>
      <c r="K43" s="3"/>
      <c r="L43" s="3"/>
    </row>
    <row r="44" spans="3:13" x14ac:dyDescent="0.25">
      <c r="E44" s="3"/>
      <c r="F44" s="3"/>
      <c r="G44" s="3"/>
      <c r="H44" s="3"/>
      <c r="I44" s="3"/>
      <c r="J44" s="3"/>
      <c r="K44" s="3"/>
      <c r="L44" s="3"/>
    </row>
    <row r="45" spans="3:13" x14ac:dyDescent="0.25">
      <c r="E45" s="3"/>
      <c r="F45" s="3"/>
      <c r="G45" s="3"/>
      <c r="H45" s="3"/>
      <c r="I45" s="3"/>
      <c r="J45" s="3"/>
      <c r="K45" s="3"/>
      <c r="L45" s="3"/>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29"/>
  <sheetViews>
    <sheetView topLeftCell="E3" workbookViewId="0">
      <selection activeCell="U18" sqref="U18"/>
    </sheetView>
  </sheetViews>
  <sheetFormatPr defaultRowHeight="15" x14ac:dyDescent="0.25"/>
  <sheetData>
    <row r="1" spans="2:21" x14ac:dyDescent="0.25">
      <c r="C1" t="s">
        <v>209</v>
      </c>
    </row>
    <row r="4" spans="2:21" x14ac:dyDescent="0.25">
      <c r="C4" t="s">
        <v>115</v>
      </c>
      <c r="H4" t="s">
        <v>179</v>
      </c>
      <c r="L4" t="s">
        <v>125</v>
      </c>
      <c r="S4" t="s">
        <v>207</v>
      </c>
      <c r="U4" t="s">
        <v>208</v>
      </c>
    </row>
    <row r="5" spans="2:21" x14ac:dyDescent="0.25">
      <c r="C5">
        <v>7.03</v>
      </c>
      <c r="D5">
        <v>11.17</v>
      </c>
      <c r="E5">
        <v>13.46</v>
      </c>
      <c r="F5">
        <v>15.67</v>
      </c>
      <c r="G5">
        <v>18.170000000000002</v>
      </c>
      <c r="H5">
        <v>21.2</v>
      </c>
      <c r="I5">
        <v>24.83</v>
      </c>
      <c r="J5">
        <v>29.47</v>
      </c>
      <c r="K5">
        <v>36.54</v>
      </c>
      <c r="L5">
        <v>63.67</v>
      </c>
      <c r="M5" t="s">
        <v>119</v>
      </c>
    </row>
    <row r="6" spans="2:21" x14ac:dyDescent="0.25">
      <c r="B6" t="s">
        <v>109</v>
      </c>
      <c r="C6">
        <v>3.85</v>
      </c>
      <c r="D6">
        <v>3.85</v>
      </c>
      <c r="E6">
        <v>3.75</v>
      </c>
      <c r="F6">
        <v>3.56</v>
      </c>
      <c r="G6">
        <v>3.64</v>
      </c>
      <c r="H6">
        <v>3.82</v>
      </c>
      <c r="I6">
        <v>3.95</v>
      </c>
      <c r="J6">
        <v>4.13</v>
      </c>
      <c r="K6">
        <v>4.4800000000000004</v>
      </c>
      <c r="L6">
        <v>5.59</v>
      </c>
      <c r="M6" t="s">
        <v>134</v>
      </c>
      <c r="R6" s="3">
        <f>AVERAGE(C6:K6)</f>
        <v>3.8922222222222222</v>
      </c>
      <c r="S6" s="4">
        <f>R6/14.7*100</f>
        <v>26.477702191987905</v>
      </c>
      <c r="T6" s="3">
        <v>2.3666666666666667</v>
      </c>
      <c r="U6" s="4">
        <f>T6/14.99*100</f>
        <v>15.788303313319989</v>
      </c>
    </row>
    <row r="7" spans="2:21" x14ac:dyDescent="0.25">
      <c r="C7">
        <v>7.03</v>
      </c>
      <c r="D7">
        <v>11.17</v>
      </c>
      <c r="E7">
        <v>13.46</v>
      </c>
      <c r="F7">
        <v>15.67</v>
      </c>
      <c r="G7">
        <v>18.170000000000002</v>
      </c>
      <c r="H7">
        <v>21.2</v>
      </c>
      <c r="I7">
        <v>24.83</v>
      </c>
      <c r="J7">
        <v>29.47</v>
      </c>
      <c r="K7">
        <v>36.54</v>
      </c>
      <c r="L7">
        <v>63.67</v>
      </c>
      <c r="R7" s="3"/>
      <c r="S7" s="4"/>
      <c r="U7" s="4"/>
    </row>
    <row r="8" spans="2:21" x14ac:dyDescent="0.25">
      <c r="B8" t="s">
        <v>113</v>
      </c>
      <c r="C8">
        <v>1.73</v>
      </c>
      <c r="D8">
        <v>1.77</v>
      </c>
      <c r="E8">
        <v>2.77</v>
      </c>
      <c r="F8">
        <v>3.05</v>
      </c>
      <c r="G8">
        <v>3.03</v>
      </c>
      <c r="H8">
        <v>3.65</v>
      </c>
      <c r="I8">
        <v>3.89</v>
      </c>
      <c r="J8">
        <v>4.88</v>
      </c>
      <c r="K8">
        <v>5.31</v>
      </c>
      <c r="L8">
        <v>7.73</v>
      </c>
      <c r="M8" t="s">
        <v>121</v>
      </c>
      <c r="O8" t="s">
        <v>117</v>
      </c>
      <c r="R8" s="3">
        <f t="shared" ref="R8:R16" si="0">AVERAGE(C8:K8)</f>
        <v>3.342222222222222</v>
      </c>
      <c r="S8" s="4">
        <f t="shared" ref="S8:S16" si="1">R8/14.7*100</f>
        <v>22.736205593348448</v>
      </c>
      <c r="T8" s="3">
        <v>3.2541666666666664</v>
      </c>
      <c r="U8" s="4">
        <f t="shared" ref="U8:U16" si="2">T8/14.99*100</f>
        <v>21.708917055814986</v>
      </c>
    </row>
    <row r="9" spans="2:21" x14ac:dyDescent="0.25">
      <c r="C9">
        <v>7.03</v>
      </c>
      <c r="D9">
        <v>11.17</v>
      </c>
      <c r="E9">
        <v>13.46</v>
      </c>
      <c r="F9">
        <v>15.67</v>
      </c>
      <c r="G9">
        <v>18.170000000000002</v>
      </c>
      <c r="H9">
        <v>21.2</v>
      </c>
      <c r="I9">
        <v>24.83</v>
      </c>
      <c r="J9">
        <v>29.47</v>
      </c>
      <c r="K9">
        <v>36.54</v>
      </c>
      <c r="L9">
        <v>63.67</v>
      </c>
      <c r="R9" s="3"/>
      <c r="S9" s="4"/>
      <c r="U9" s="4"/>
    </row>
    <row r="10" spans="2:21" x14ac:dyDescent="0.25">
      <c r="B10" t="s">
        <v>39</v>
      </c>
      <c r="C10">
        <v>1.53</v>
      </c>
      <c r="D10">
        <v>1.81</v>
      </c>
      <c r="E10">
        <v>1.93</v>
      </c>
      <c r="F10">
        <v>1.78</v>
      </c>
      <c r="G10">
        <v>1.96</v>
      </c>
      <c r="H10">
        <v>1.97</v>
      </c>
      <c r="I10">
        <v>2.17</v>
      </c>
      <c r="J10">
        <v>2.2599999999999998</v>
      </c>
      <c r="K10">
        <v>2.5</v>
      </c>
      <c r="L10">
        <v>2.77</v>
      </c>
      <c r="M10" t="s">
        <v>118</v>
      </c>
      <c r="O10" t="s">
        <v>120</v>
      </c>
      <c r="R10" s="3">
        <f t="shared" si="0"/>
        <v>1.99</v>
      </c>
      <c r="S10" s="4">
        <f t="shared" si="1"/>
        <v>13.537414965986393</v>
      </c>
      <c r="T10" s="3">
        <v>2.8750000000000004</v>
      </c>
      <c r="U10" s="4">
        <f t="shared" si="2"/>
        <v>19.179452968645766</v>
      </c>
    </row>
    <row r="11" spans="2:21" x14ac:dyDescent="0.25">
      <c r="C11">
        <v>7.03</v>
      </c>
      <c r="D11">
        <v>11.17</v>
      </c>
      <c r="E11">
        <v>13.46</v>
      </c>
      <c r="F11">
        <v>15.67</v>
      </c>
      <c r="G11">
        <v>18.170000000000002</v>
      </c>
      <c r="H11">
        <v>21.2</v>
      </c>
      <c r="I11">
        <v>24.83</v>
      </c>
      <c r="J11">
        <v>29.47</v>
      </c>
      <c r="K11">
        <v>36.54</v>
      </c>
      <c r="L11">
        <v>63.67</v>
      </c>
      <c r="R11" s="3"/>
      <c r="S11" s="4"/>
      <c r="U11" s="4"/>
    </row>
    <row r="12" spans="2:21" x14ac:dyDescent="0.25">
      <c r="B12" t="s">
        <v>112</v>
      </c>
      <c r="C12">
        <v>0.9</v>
      </c>
      <c r="D12">
        <v>1.1000000000000001</v>
      </c>
      <c r="E12">
        <v>1.38</v>
      </c>
      <c r="F12">
        <v>1.35</v>
      </c>
      <c r="G12">
        <v>1.67</v>
      </c>
      <c r="H12">
        <v>1.69</v>
      </c>
      <c r="I12">
        <v>2</v>
      </c>
      <c r="J12">
        <v>2.13</v>
      </c>
      <c r="K12">
        <v>2.68</v>
      </c>
      <c r="L12">
        <v>3.41</v>
      </c>
      <c r="M12" t="s">
        <v>116</v>
      </c>
      <c r="O12" t="s">
        <v>122</v>
      </c>
      <c r="R12" s="3">
        <f t="shared" si="0"/>
        <v>1.6555555555555554</v>
      </c>
      <c r="S12" s="4">
        <f t="shared" si="1"/>
        <v>11.26228269085412</v>
      </c>
      <c r="T12" s="3">
        <v>2.625</v>
      </c>
      <c r="U12" s="4">
        <f t="shared" si="2"/>
        <v>17.511674449633087</v>
      </c>
    </row>
    <row r="13" spans="2:21" x14ac:dyDescent="0.25">
      <c r="C13">
        <v>7.03</v>
      </c>
      <c r="D13">
        <v>11.17</v>
      </c>
      <c r="E13">
        <v>13.46</v>
      </c>
      <c r="F13">
        <v>15.67</v>
      </c>
      <c r="G13">
        <v>18.170000000000002</v>
      </c>
      <c r="H13">
        <v>21.2</v>
      </c>
      <c r="I13">
        <v>24.83</v>
      </c>
      <c r="J13">
        <v>29.47</v>
      </c>
      <c r="K13">
        <v>36.54</v>
      </c>
      <c r="L13">
        <v>63.67</v>
      </c>
      <c r="M13" t="s">
        <v>135</v>
      </c>
      <c r="R13" s="3"/>
      <c r="S13" s="4"/>
      <c r="U13" s="4"/>
    </row>
    <row r="14" spans="2:21" x14ac:dyDescent="0.25">
      <c r="B14" t="s">
        <v>123</v>
      </c>
      <c r="C14">
        <v>0.95</v>
      </c>
      <c r="D14">
        <v>1.05</v>
      </c>
      <c r="E14">
        <v>1.18</v>
      </c>
      <c r="F14">
        <v>1.22</v>
      </c>
      <c r="G14">
        <v>1.39</v>
      </c>
      <c r="H14">
        <v>1.53</v>
      </c>
      <c r="I14">
        <v>1.81</v>
      </c>
      <c r="J14">
        <v>1.96</v>
      </c>
      <c r="K14">
        <v>2.2799999999999998</v>
      </c>
      <c r="L14">
        <v>3.44</v>
      </c>
      <c r="M14" t="s">
        <v>116</v>
      </c>
      <c r="O14">
        <v>0.5</v>
      </c>
      <c r="R14" s="3">
        <f t="shared" si="0"/>
        <v>1.4855555555555555</v>
      </c>
      <c r="S14" s="4">
        <f t="shared" si="1"/>
        <v>10.105820105820106</v>
      </c>
      <c r="T14" s="3">
        <v>1.7166666666666668</v>
      </c>
      <c r="U14" s="4">
        <f t="shared" si="2"/>
        <v>11.452079163887037</v>
      </c>
    </row>
    <row r="15" spans="2:21" x14ac:dyDescent="0.25">
      <c r="C15">
        <v>7.03</v>
      </c>
      <c r="D15">
        <v>11.17</v>
      </c>
      <c r="E15">
        <v>13.46</v>
      </c>
      <c r="F15">
        <v>15.67</v>
      </c>
      <c r="G15">
        <v>18.170000000000002</v>
      </c>
      <c r="H15">
        <v>21.2</v>
      </c>
      <c r="I15">
        <v>24.83</v>
      </c>
      <c r="J15">
        <v>29.47</v>
      </c>
      <c r="K15">
        <v>36.54</v>
      </c>
      <c r="L15">
        <v>63.67</v>
      </c>
      <c r="R15" s="3"/>
      <c r="S15" s="4"/>
      <c r="U15" s="4"/>
    </row>
    <row r="16" spans="2:21" x14ac:dyDescent="0.25">
      <c r="B16" t="s">
        <v>110</v>
      </c>
      <c r="C16">
        <v>1.96</v>
      </c>
      <c r="D16">
        <v>2.14</v>
      </c>
      <c r="E16">
        <v>1.97</v>
      </c>
      <c r="F16">
        <v>1.83</v>
      </c>
      <c r="G16">
        <v>1.7</v>
      </c>
      <c r="H16">
        <v>1.75</v>
      </c>
      <c r="I16">
        <v>1.67</v>
      </c>
      <c r="J16">
        <v>1.64</v>
      </c>
      <c r="K16">
        <v>1.58</v>
      </c>
      <c r="L16">
        <v>1.52</v>
      </c>
      <c r="M16" t="s">
        <v>124</v>
      </c>
      <c r="O16">
        <f>AVERAGE(C16:L16)</f>
        <v>1.7760000000000002</v>
      </c>
      <c r="R16" s="3">
        <f t="shared" si="0"/>
        <v>1.8044444444444447</v>
      </c>
      <c r="S16" s="4">
        <f t="shared" si="1"/>
        <v>12.275132275132277</v>
      </c>
      <c r="T16" s="3">
        <v>2.15</v>
      </c>
      <c r="U16" s="4">
        <f t="shared" si="2"/>
        <v>14.342895263509007</v>
      </c>
    </row>
    <row r="17" spans="2:21" x14ac:dyDescent="0.25">
      <c r="R17" s="3">
        <f>SUM(R6:R16)</f>
        <v>14.169999999999998</v>
      </c>
      <c r="S17" s="4">
        <f>R17/14.7*100</f>
        <v>96.394557823129247</v>
      </c>
      <c r="T17" s="3">
        <f>SUM(T6:T16)</f>
        <v>14.987500000000001</v>
      </c>
      <c r="U17" s="4">
        <f>T17/14.99*100</f>
        <v>99.983322214809874</v>
      </c>
    </row>
    <row r="18" spans="2:21" x14ac:dyDescent="0.25">
      <c r="C18">
        <v>7.03</v>
      </c>
      <c r="D18">
        <v>11.17</v>
      </c>
      <c r="E18">
        <v>13.46</v>
      </c>
      <c r="F18">
        <v>15.67</v>
      </c>
      <c r="G18">
        <v>18.170000000000002</v>
      </c>
      <c r="H18">
        <v>21.2</v>
      </c>
      <c r="I18">
        <v>24.83</v>
      </c>
      <c r="J18">
        <v>29.47</v>
      </c>
      <c r="K18">
        <v>36.54</v>
      </c>
      <c r="L18">
        <v>63.67</v>
      </c>
    </row>
    <row r="19" spans="2:21" x14ac:dyDescent="0.25">
      <c r="B19" t="s">
        <v>109</v>
      </c>
      <c r="C19" s="3">
        <f>C6/26.5*15.8</f>
        <v>2.2954716981132077</v>
      </c>
      <c r="D19" s="3">
        <f t="shared" ref="D19:L19" si="3">D6/26.5*15.8</f>
        <v>2.2954716981132077</v>
      </c>
      <c r="E19" s="3">
        <f t="shared" si="3"/>
        <v>2.2358490566037736</v>
      </c>
      <c r="F19" s="3">
        <f t="shared" si="3"/>
        <v>2.1225660377358495</v>
      </c>
      <c r="G19" s="3">
        <f t="shared" si="3"/>
        <v>2.1702641509433964</v>
      </c>
      <c r="H19" s="3">
        <f t="shared" si="3"/>
        <v>2.2775849056603774</v>
      </c>
      <c r="I19" s="3">
        <f t="shared" si="3"/>
        <v>2.3550943396226414</v>
      </c>
      <c r="J19" s="3">
        <f t="shared" si="3"/>
        <v>2.4624150943396224</v>
      </c>
      <c r="K19" s="3">
        <f t="shared" si="3"/>
        <v>2.6710943396226416</v>
      </c>
      <c r="L19" s="3">
        <f t="shared" si="3"/>
        <v>3.3329056603773584</v>
      </c>
      <c r="N19" s="32" t="s">
        <v>210</v>
      </c>
      <c r="P19" t="s">
        <v>211</v>
      </c>
      <c r="T19" s="3">
        <f>AVERAGE(C19:K19)</f>
        <v>2.3206457023060794</v>
      </c>
    </row>
    <row r="20" spans="2:21" x14ac:dyDescent="0.25">
      <c r="C20">
        <v>7.03</v>
      </c>
      <c r="D20">
        <v>11.17</v>
      </c>
      <c r="E20">
        <v>13.46</v>
      </c>
      <c r="F20">
        <v>15.67</v>
      </c>
      <c r="G20">
        <v>18.170000000000002</v>
      </c>
      <c r="H20">
        <v>21.2</v>
      </c>
      <c r="I20">
        <v>24.83</v>
      </c>
      <c r="J20">
        <v>29.47</v>
      </c>
      <c r="K20">
        <v>36.54</v>
      </c>
      <c r="L20">
        <v>63.67</v>
      </c>
      <c r="T20" s="3">
        <f>AVERAGE(C21:K21)</f>
        <v>3.1949877630934895</v>
      </c>
    </row>
    <row r="21" spans="2:21" x14ac:dyDescent="0.25">
      <c r="B21" t="s">
        <v>113</v>
      </c>
      <c r="C21" s="3">
        <f t="shared" ref="C21:L21" si="4">C8/22.7*21.7</f>
        <v>1.6537885462555066</v>
      </c>
      <c r="D21" s="3">
        <f t="shared" si="4"/>
        <v>1.6920264317180616</v>
      </c>
      <c r="E21" s="3">
        <f t="shared" si="4"/>
        <v>2.6479735682819383</v>
      </c>
      <c r="F21" s="3">
        <f t="shared" si="4"/>
        <v>2.9156387665198236</v>
      </c>
      <c r="G21" s="3">
        <f t="shared" si="4"/>
        <v>2.8965198237885463</v>
      </c>
      <c r="H21" s="3">
        <f t="shared" si="4"/>
        <v>3.4892070484581499</v>
      </c>
      <c r="I21" s="3">
        <f t="shared" si="4"/>
        <v>3.7186343612334802</v>
      </c>
      <c r="J21" s="3">
        <f t="shared" si="4"/>
        <v>4.6650220264317177</v>
      </c>
      <c r="K21" s="3">
        <f t="shared" si="4"/>
        <v>5.0760792951541847</v>
      </c>
      <c r="L21" s="3">
        <f t="shared" si="4"/>
        <v>7.3894713656387667</v>
      </c>
      <c r="N21" s="32" t="s">
        <v>212</v>
      </c>
      <c r="T21" s="3">
        <f>AVERAGE(C23:K23)</f>
        <v>2.8302222222222224</v>
      </c>
    </row>
    <row r="22" spans="2:21" x14ac:dyDescent="0.25">
      <c r="C22">
        <v>7.03</v>
      </c>
      <c r="D22">
        <v>11.17</v>
      </c>
      <c r="E22">
        <v>13.46</v>
      </c>
      <c r="F22">
        <v>15.67</v>
      </c>
      <c r="G22">
        <v>18.170000000000002</v>
      </c>
      <c r="H22">
        <v>21.2</v>
      </c>
      <c r="I22">
        <v>24.83</v>
      </c>
      <c r="J22">
        <v>29.47</v>
      </c>
      <c r="K22">
        <v>36.54</v>
      </c>
      <c r="L22">
        <v>63.67</v>
      </c>
      <c r="T22" s="3">
        <f>AVERAGE(C25:K25)</f>
        <v>2.5639134709931168</v>
      </c>
    </row>
    <row r="23" spans="2:21" x14ac:dyDescent="0.25">
      <c r="B23" t="s">
        <v>39</v>
      </c>
      <c r="C23" s="3">
        <f t="shared" ref="C23:L23" si="5">C10/13.5*19.2</f>
        <v>2.1760000000000002</v>
      </c>
      <c r="D23" s="3">
        <f t="shared" si="5"/>
        <v>2.5742222222222222</v>
      </c>
      <c r="E23" s="3">
        <f t="shared" si="5"/>
        <v>2.7448888888888887</v>
      </c>
      <c r="F23" s="3">
        <f t="shared" si="5"/>
        <v>2.5315555555555558</v>
      </c>
      <c r="G23" s="3">
        <f t="shared" si="5"/>
        <v>2.7875555555555556</v>
      </c>
      <c r="H23" s="3">
        <f t="shared" si="5"/>
        <v>2.8017777777777777</v>
      </c>
      <c r="I23" s="3">
        <f t="shared" si="5"/>
        <v>3.0862222222222222</v>
      </c>
      <c r="J23" s="3">
        <f t="shared" si="5"/>
        <v>3.2142222222222219</v>
      </c>
      <c r="K23" s="3">
        <f t="shared" si="5"/>
        <v>3.5555555555555554</v>
      </c>
      <c r="L23" s="3">
        <f t="shared" si="5"/>
        <v>3.9395555555555557</v>
      </c>
      <c r="O23" s="32" t="s">
        <v>213</v>
      </c>
      <c r="T23" s="3">
        <f>AVERAGE(C27:K27)</f>
        <v>1.6914741474147412</v>
      </c>
    </row>
    <row r="24" spans="2:21" x14ac:dyDescent="0.25">
      <c r="C24">
        <v>7.03</v>
      </c>
      <c r="D24">
        <v>11.17</v>
      </c>
      <c r="E24">
        <v>13.46</v>
      </c>
      <c r="F24">
        <v>15.67</v>
      </c>
      <c r="G24">
        <v>18.170000000000002</v>
      </c>
      <c r="H24">
        <v>21.2</v>
      </c>
      <c r="I24">
        <v>24.83</v>
      </c>
      <c r="J24">
        <v>29.47</v>
      </c>
      <c r="K24">
        <v>36.54</v>
      </c>
      <c r="L24">
        <v>63.67</v>
      </c>
      <c r="T24" s="3">
        <f>AVERAGE(C29:K29)</f>
        <v>2.1990749774164402</v>
      </c>
    </row>
    <row r="25" spans="2:21" x14ac:dyDescent="0.25">
      <c r="B25" t="s">
        <v>112</v>
      </c>
      <c r="C25" s="3">
        <f t="shared" ref="C25:L25" si="6">C12/11.3*17.5</f>
        <v>1.3938053097345133</v>
      </c>
      <c r="D25" s="3">
        <f t="shared" si="6"/>
        <v>1.7035398230088494</v>
      </c>
      <c r="E25" s="3">
        <f t="shared" si="6"/>
        <v>2.13716814159292</v>
      </c>
      <c r="F25" s="3">
        <f t="shared" si="6"/>
        <v>2.0907079646017701</v>
      </c>
      <c r="G25" s="3">
        <f t="shared" si="6"/>
        <v>2.5862831858407076</v>
      </c>
      <c r="H25" s="3">
        <f t="shared" si="6"/>
        <v>2.6172566371681412</v>
      </c>
      <c r="I25" s="3">
        <f t="shared" si="6"/>
        <v>3.0973451327433628</v>
      </c>
      <c r="J25" s="3">
        <f t="shared" si="6"/>
        <v>3.2986725663716809</v>
      </c>
      <c r="K25" s="3">
        <f t="shared" si="6"/>
        <v>4.1504424778761058</v>
      </c>
      <c r="L25" s="3">
        <f t="shared" si="6"/>
        <v>5.2809734513274336</v>
      </c>
      <c r="O25" s="32" t="s">
        <v>214</v>
      </c>
    </row>
    <row r="26" spans="2:21" x14ac:dyDescent="0.25">
      <c r="C26">
        <v>7.03</v>
      </c>
      <c r="D26">
        <v>11.17</v>
      </c>
      <c r="E26">
        <v>13.46</v>
      </c>
      <c r="F26">
        <v>15.67</v>
      </c>
      <c r="G26">
        <v>18.170000000000002</v>
      </c>
      <c r="H26">
        <v>21.2</v>
      </c>
      <c r="I26">
        <v>24.83</v>
      </c>
      <c r="J26">
        <v>29.47</v>
      </c>
      <c r="K26">
        <v>36.54</v>
      </c>
      <c r="L26">
        <v>63.67</v>
      </c>
      <c r="T26" s="3">
        <f>SUM(T19:T25)</f>
        <v>14.800318283446089</v>
      </c>
    </row>
    <row r="27" spans="2:21" x14ac:dyDescent="0.25">
      <c r="B27" t="s">
        <v>111</v>
      </c>
      <c r="C27" s="3">
        <f t="shared" ref="C27:L27" si="7">C14/10.1*11.5</f>
        <v>1.0816831683168318</v>
      </c>
      <c r="D27" s="3">
        <f t="shared" si="7"/>
        <v>1.1955445544554457</v>
      </c>
      <c r="E27" s="3">
        <f t="shared" si="7"/>
        <v>1.3435643564356434</v>
      </c>
      <c r="F27" s="3">
        <f t="shared" si="7"/>
        <v>1.389108910891089</v>
      </c>
      <c r="G27" s="3">
        <f t="shared" si="7"/>
        <v>1.5826732673267325</v>
      </c>
      <c r="H27" s="3">
        <f t="shared" si="7"/>
        <v>1.7420792079207921</v>
      </c>
      <c r="I27" s="3">
        <f t="shared" si="7"/>
        <v>2.0608910891089112</v>
      </c>
      <c r="J27" s="3">
        <f t="shared" si="7"/>
        <v>2.2316831683168319</v>
      </c>
      <c r="K27" s="3">
        <f t="shared" si="7"/>
        <v>2.5960396039603957</v>
      </c>
      <c r="L27" s="3">
        <f t="shared" si="7"/>
        <v>3.9168316831683172</v>
      </c>
      <c r="N27" s="32" t="s">
        <v>215</v>
      </c>
    </row>
    <row r="28" spans="2:21" x14ac:dyDescent="0.25">
      <c r="C28">
        <v>7.03</v>
      </c>
      <c r="D28">
        <v>11.17</v>
      </c>
      <c r="E28">
        <v>13.46</v>
      </c>
      <c r="F28">
        <v>15.67</v>
      </c>
      <c r="G28">
        <v>18.170000000000002</v>
      </c>
      <c r="H28">
        <v>21.2</v>
      </c>
      <c r="I28">
        <v>24.83</v>
      </c>
      <c r="J28">
        <v>29.47</v>
      </c>
      <c r="K28">
        <v>36.54</v>
      </c>
      <c r="L28">
        <v>63.67</v>
      </c>
    </row>
    <row r="29" spans="2:21" x14ac:dyDescent="0.25">
      <c r="B29" t="s">
        <v>110</v>
      </c>
      <c r="C29" s="3">
        <f t="shared" ref="C29:L29" si="8">C16/12.3*14.99</f>
        <v>2.3886504065040648</v>
      </c>
      <c r="D29" s="3">
        <f t="shared" si="8"/>
        <v>2.6080162601626018</v>
      </c>
      <c r="E29" s="3">
        <f t="shared" si="8"/>
        <v>2.4008373983739837</v>
      </c>
      <c r="F29" s="3">
        <f t="shared" si="8"/>
        <v>2.2302195121951218</v>
      </c>
      <c r="G29" s="3">
        <f t="shared" si="8"/>
        <v>2.0717886178861784</v>
      </c>
      <c r="H29" s="3">
        <f t="shared" si="8"/>
        <v>2.1327235772357724</v>
      </c>
      <c r="I29" s="3">
        <f t="shared" si="8"/>
        <v>2.0352276422764222</v>
      </c>
      <c r="J29" s="3">
        <f t="shared" si="8"/>
        <v>1.9986666666666666</v>
      </c>
      <c r="K29" s="3">
        <f t="shared" si="8"/>
        <v>1.9255447154471543</v>
      </c>
      <c r="L29" s="3">
        <f t="shared" si="8"/>
        <v>1.8524227642276421</v>
      </c>
      <c r="N29" s="32" t="s">
        <v>216</v>
      </c>
      <c r="P29" t="s">
        <v>217</v>
      </c>
    </row>
  </sheetData>
  <pageMargins left="0.7" right="0.7" top="0.75" bottom="0.75" header="0.3" footer="0.3"/>
  <drawing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14"/>
  <sheetViews>
    <sheetView workbookViewId="0">
      <selection activeCell="K21" sqref="K21"/>
    </sheetView>
  </sheetViews>
  <sheetFormatPr defaultRowHeight="15" x14ac:dyDescent="0.25"/>
  <cols>
    <col min="12" max="12" width="24.140625" customWidth="1"/>
    <col min="20" max="20" width="13.42578125" customWidth="1"/>
  </cols>
  <sheetData>
    <row r="2" spans="2:28" x14ac:dyDescent="0.25">
      <c r="B2" s="63"/>
      <c r="C2" s="63"/>
      <c r="D2" s="63"/>
      <c r="E2" s="63"/>
      <c r="F2" s="63"/>
      <c r="G2" s="63"/>
      <c r="H2" s="63"/>
      <c r="I2" s="63"/>
      <c r="J2" s="63"/>
      <c r="K2" s="63"/>
      <c r="L2" s="63" t="s">
        <v>63</v>
      </c>
      <c r="M2" s="63" t="s">
        <v>338</v>
      </c>
      <c r="N2" t="s">
        <v>339</v>
      </c>
    </row>
    <row r="3" spans="2:28" x14ac:dyDescent="0.25">
      <c r="B3" s="63"/>
      <c r="C3" s="63" t="s">
        <v>332</v>
      </c>
      <c r="D3" s="63"/>
      <c r="E3" s="63"/>
      <c r="F3" s="63"/>
      <c r="G3" s="63"/>
      <c r="H3" s="63"/>
      <c r="I3" s="63"/>
      <c r="J3" s="63"/>
      <c r="K3" s="63"/>
      <c r="L3" s="63" t="s">
        <v>92</v>
      </c>
      <c r="M3" s="63">
        <v>3.3</v>
      </c>
      <c r="N3">
        <v>1.4</v>
      </c>
      <c r="Q3" t="s">
        <v>350</v>
      </c>
    </row>
    <row r="4" spans="2:28" x14ac:dyDescent="0.25">
      <c r="C4" t="s">
        <v>333</v>
      </c>
      <c r="L4" s="34" t="s">
        <v>336</v>
      </c>
      <c r="M4" s="34">
        <v>1.66</v>
      </c>
      <c r="N4" s="34">
        <v>0.7</v>
      </c>
      <c r="O4">
        <f>M3/M5</f>
        <v>3.333333333333333</v>
      </c>
      <c r="P4">
        <f>M4/M3</f>
        <v>0.50303030303030305</v>
      </c>
      <c r="T4" s="64" t="s">
        <v>363</v>
      </c>
      <c r="U4" s="45"/>
      <c r="V4" s="45"/>
      <c r="W4" s="45"/>
      <c r="X4" s="45"/>
      <c r="Y4" s="45"/>
      <c r="Z4" s="45"/>
    </row>
    <row r="5" spans="2:28" ht="15.75" x14ac:dyDescent="0.25">
      <c r="C5" t="s">
        <v>334</v>
      </c>
      <c r="L5" s="55" t="s">
        <v>335</v>
      </c>
      <c r="M5" s="55">
        <v>0.99</v>
      </c>
      <c r="N5" s="55">
        <v>0.4</v>
      </c>
      <c r="P5" s="46">
        <f>M5/M3</f>
        <v>0.3</v>
      </c>
      <c r="U5" t="s">
        <v>371</v>
      </c>
    </row>
    <row r="6" spans="2:28" ht="15.75" x14ac:dyDescent="0.25">
      <c r="C6" t="s">
        <v>352</v>
      </c>
      <c r="L6" s="55" t="s">
        <v>337</v>
      </c>
      <c r="M6" s="55">
        <v>1.86</v>
      </c>
      <c r="N6" s="55">
        <v>0.8</v>
      </c>
      <c r="O6">
        <f>SUM(M3:M5)</f>
        <v>5.95</v>
      </c>
      <c r="T6" s="65"/>
      <c r="U6" s="66">
        <v>1</v>
      </c>
      <c r="V6" s="66">
        <v>2</v>
      </c>
      <c r="W6" s="66">
        <v>3</v>
      </c>
      <c r="X6" s="66">
        <v>4</v>
      </c>
      <c r="Y6" s="66">
        <v>5</v>
      </c>
      <c r="Z6" s="66"/>
      <c r="AA6" t="s">
        <v>137</v>
      </c>
    </row>
    <row r="7" spans="2:28" ht="15.75" x14ac:dyDescent="0.25">
      <c r="L7" s="55" t="s">
        <v>370</v>
      </c>
      <c r="M7" s="55"/>
      <c r="N7" s="55"/>
      <c r="T7" s="64" t="s">
        <v>364</v>
      </c>
      <c r="U7" s="45">
        <v>204.26757499999999</v>
      </c>
      <c r="V7" s="45">
        <v>186.760527</v>
      </c>
      <c r="W7" s="45">
        <v>167.574727</v>
      </c>
      <c r="X7" s="45">
        <v>164.954171</v>
      </c>
      <c r="Y7" s="45">
        <v>180.28421700000001</v>
      </c>
      <c r="AA7" s="45">
        <v>180.5244571253277</v>
      </c>
    </row>
    <row r="8" spans="2:28" ht="15.75" x14ac:dyDescent="0.25">
      <c r="C8" t="s">
        <v>353</v>
      </c>
      <c r="L8" s="55" t="s">
        <v>356</v>
      </c>
      <c r="M8" s="55"/>
      <c r="N8" s="55"/>
      <c r="O8">
        <v>5289</v>
      </c>
      <c r="P8" t="s">
        <v>357</v>
      </c>
      <c r="R8" t="s">
        <v>358</v>
      </c>
      <c r="S8" t="s">
        <v>362</v>
      </c>
      <c r="T8" s="64" t="s">
        <v>365</v>
      </c>
      <c r="U8" s="45">
        <v>40.385505999999999</v>
      </c>
      <c r="V8" s="45">
        <v>35.825603000000001</v>
      </c>
      <c r="W8" s="45">
        <v>48.279710999999999</v>
      </c>
      <c r="X8" s="45">
        <v>56.973587000000002</v>
      </c>
      <c r="Y8" s="45">
        <v>82.423225000000002</v>
      </c>
      <c r="AA8" s="45">
        <v>52.685724192203473</v>
      </c>
    </row>
    <row r="9" spans="2:28" ht="15.75" x14ac:dyDescent="0.25">
      <c r="B9">
        <v>1</v>
      </c>
      <c r="C9" t="s">
        <v>354</v>
      </c>
      <c r="L9" s="39" t="s">
        <v>359</v>
      </c>
      <c r="M9" s="34"/>
      <c r="N9" s="67">
        <v>677.43807500000003</v>
      </c>
      <c r="O9" s="45">
        <v>3087.8009280000001</v>
      </c>
      <c r="T9" s="43" t="s">
        <v>366</v>
      </c>
      <c r="U9" s="44">
        <v>1372.8336340000001</v>
      </c>
      <c r="V9" s="44">
        <v>2076.9473149999999</v>
      </c>
      <c r="W9" s="44">
        <v>3269.858166</v>
      </c>
      <c r="X9" s="44">
        <v>4325.9605920000004</v>
      </c>
      <c r="Y9" s="44">
        <v>5793.9045210000004</v>
      </c>
      <c r="AA9" s="44">
        <v>3367.0847472878536</v>
      </c>
    </row>
    <row r="10" spans="2:28" ht="15.75" x14ac:dyDescent="0.25">
      <c r="B10">
        <v>2</v>
      </c>
      <c r="C10" t="s">
        <v>355</v>
      </c>
      <c r="L10" s="39" t="s">
        <v>360</v>
      </c>
      <c r="M10" s="34"/>
      <c r="N10" s="67">
        <v>976.07034199999998</v>
      </c>
      <c r="O10" s="45">
        <v>6226.7319049999996</v>
      </c>
      <c r="T10" s="43" t="s">
        <v>367</v>
      </c>
      <c r="U10" s="44">
        <v>1343.001994</v>
      </c>
      <c r="V10" s="44">
        <v>1530.71955</v>
      </c>
      <c r="W10" s="44">
        <v>1944.686123</v>
      </c>
      <c r="X10" s="44">
        <v>2145.5734090000001</v>
      </c>
      <c r="Y10" s="44">
        <v>2261.666248</v>
      </c>
      <c r="AA10" s="44">
        <v>1847.2682823333382</v>
      </c>
    </row>
    <row r="11" spans="2:28" x14ac:dyDescent="0.25">
      <c r="L11" s="40" t="s">
        <v>361</v>
      </c>
      <c r="N11" s="41">
        <v>1066.6456029999999</v>
      </c>
      <c r="O11" s="41">
        <v>8912.3772219999992</v>
      </c>
      <c r="T11" s="43" t="s">
        <v>733</v>
      </c>
      <c r="U11" s="44">
        <v>106.08029000000001</v>
      </c>
      <c r="V11" s="44">
        <v>135.61337700000001</v>
      </c>
      <c r="W11" s="44">
        <v>126.700356</v>
      </c>
      <c r="X11" s="44">
        <v>125.58122299999999</v>
      </c>
      <c r="Y11" s="44">
        <v>156.62261599999999</v>
      </c>
      <c r="AA11" s="44">
        <v>129.90322741097646</v>
      </c>
    </row>
    <row r="12" spans="2:28" x14ac:dyDescent="0.25">
      <c r="L12" s="40"/>
      <c r="N12" s="68"/>
      <c r="O12" s="68"/>
      <c r="T12" s="43" t="s">
        <v>372</v>
      </c>
      <c r="U12" s="44">
        <f>SUM(U9:U11)</f>
        <v>2821.9159179999997</v>
      </c>
      <c r="V12" s="44">
        <f t="shared" ref="V12:AA12" si="0">SUM(V9:V11)</f>
        <v>3743.2802420000003</v>
      </c>
      <c r="W12" s="44">
        <f t="shared" si="0"/>
        <v>5341.2446449999998</v>
      </c>
      <c r="X12" s="44">
        <f t="shared" si="0"/>
        <v>6597.1152240000001</v>
      </c>
      <c r="Y12" s="44">
        <f t="shared" si="0"/>
        <v>8212.1933850000005</v>
      </c>
      <c r="Z12" s="45">
        <f t="shared" si="0"/>
        <v>0</v>
      </c>
      <c r="AA12" s="44">
        <f t="shared" si="0"/>
        <v>5344.2562570321688</v>
      </c>
    </row>
    <row r="13" spans="2:28" x14ac:dyDescent="0.25">
      <c r="L13" s="42" t="s">
        <v>374</v>
      </c>
      <c r="M13">
        <v>1.1299999999999999</v>
      </c>
      <c r="N13" s="68" t="s">
        <v>375</v>
      </c>
      <c r="O13" s="68"/>
      <c r="T13" s="65"/>
      <c r="U13" s="69"/>
      <c r="V13" s="69"/>
      <c r="W13" s="69"/>
      <c r="X13" s="69"/>
      <c r="Y13" s="69"/>
      <c r="AA13" s="69"/>
      <c r="AB13">
        <f>AA12/AA17</f>
        <v>4.7981474747495536</v>
      </c>
    </row>
    <row r="14" spans="2:28" x14ac:dyDescent="0.25">
      <c r="L14" t="s">
        <v>437</v>
      </c>
      <c r="N14" t="s">
        <v>438</v>
      </c>
      <c r="P14" t="s">
        <v>439</v>
      </c>
      <c r="T14" s="43" t="s">
        <v>368</v>
      </c>
      <c r="U14" s="45">
        <v>515.27109900000005</v>
      </c>
      <c r="V14" s="45">
        <v>447.76815299999998</v>
      </c>
      <c r="W14" s="45">
        <v>376.90707700000002</v>
      </c>
      <c r="X14" s="45">
        <v>260.56234999999998</v>
      </c>
      <c r="Y14" s="45">
        <v>240.60659999999999</v>
      </c>
      <c r="AA14" s="45">
        <v>367.77924714174537</v>
      </c>
    </row>
    <row r="15" spans="2:28" x14ac:dyDescent="0.25">
      <c r="B15" t="s">
        <v>386</v>
      </c>
      <c r="L15" t="s">
        <v>440</v>
      </c>
      <c r="N15">
        <v>9000</v>
      </c>
      <c r="T15" s="64" t="s">
        <v>734</v>
      </c>
      <c r="U15" s="45">
        <v>307.43157000000002</v>
      </c>
      <c r="V15" s="45">
        <v>334.29248200000001</v>
      </c>
      <c r="W15" s="45">
        <v>437.60976900000003</v>
      </c>
      <c r="X15" s="45">
        <v>638.00313300000005</v>
      </c>
      <c r="Y15" s="45">
        <v>1436.8501879999999</v>
      </c>
      <c r="AA15" s="45">
        <v>626.38664358951405</v>
      </c>
    </row>
    <row r="16" spans="2:28" x14ac:dyDescent="0.25">
      <c r="B16" t="s">
        <v>387</v>
      </c>
      <c r="T16" s="43" t="s">
        <v>735</v>
      </c>
      <c r="U16" s="44">
        <v>95.56532</v>
      </c>
      <c r="V16" s="44">
        <v>93.795114999999996</v>
      </c>
      <c r="W16" s="44">
        <v>76.912443999999994</v>
      </c>
      <c r="X16" s="44">
        <v>99.503820000000005</v>
      </c>
      <c r="Y16" s="44">
        <v>237.46010699999999</v>
      </c>
      <c r="AA16" s="44">
        <v>119.65069893309246</v>
      </c>
    </row>
    <row r="17" spans="2:29" x14ac:dyDescent="0.25">
      <c r="C17" t="s">
        <v>388</v>
      </c>
      <c r="D17" t="s">
        <v>389</v>
      </c>
      <c r="E17" t="s">
        <v>390</v>
      </c>
      <c r="N17" s="10"/>
      <c r="T17" s="43" t="s">
        <v>373</v>
      </c>
      <c r="U17" s="44">
        <f>SUM(U14:U16)</f>
        <v>918.26798900000006</v>
      </c>
      <c r="V17" s="44">
        <f>SUM(V14:V16)</f>
        <v>875.85575000000006</v>
      </c>
      <c r="W17" s="44">
        <f>SUM(W14:W16)</f>
        <v>891.42929000000004</v>
      </c>
      <c r="X17" s="44">
        <f>SUM(X14:X16)</f>
        <v>998.0693030000001</v>
      </c>
      <c r="Y17" s="44">
        <f>SUM(Y14:Y16)</f>
        <v>1914.9168949999998</v>
      </c>
      <c r="Z17" s="45"/>
      <c r="AA17" s="44">
        <f>SUM(AA14:AA16)</f>
        <v>1113.8165896643518</v>
      </c>
    </row>
    <row r="18" spans="2:29" x14ac:dyDescent="0.25">
      <c r="C18" t="s">
        <v>430</v>
      </c>
      <c r="T18" s="65"/>
      <c r="U18" s="69"/>
      <c r="V18" s="69"/>
      <c r="W18" s="69"/>
      <c r="X18" s="69"/>
      <c r="Y18" s="69"/>
      <c r="AA18" s="69"/>
    </row>
    <row r="19" spans="2:29" x14ac:dyDescent="0.25">
      <c r="C19" t="s">
        <v>431</v>
      </c>
      <c r="G19" t="s">
        <v>391</v>
      </c>
      <c r="T19" s="43" t="s">
        <v>369</v>
      </c>
      <c r="U19" s="45">
        <v>3984.8369880000005</v>
      </c>
      <c r="V19" s="45">
        <v>4841.7221219999992</v>
      </c>
      <c r="W19" s="45">
        <v>6448.5283729999992</v>
      </c>
      <c r="X19" s="45">
        <v>7817.1122850000002</v>
      </c>
      <c r="Y19" s="45">
        <v>10389.817722000002</v>
      </c>
      <c r="AA19" s="45">
        <v>6691.2830280140515</v>
      </c>
    </row>
    <row r="20" spans="2:29" x14ac:dyDescent="0.25">
      <c r="C20" t="s">
        <v>392</v>
      </c>
    </row>
    <row r="21" spans="2:29" x14ac:dyDescent="0.25">
      <c r="C21" t="s">
        <v>432</v>
      </c>
      <c r="G21" t="s">
        <v>391</v>
      </c>
      <c r="T21" s="70"/>
      <c r="U21" s="69"/>
      <c r="V21" s="69"/>
      <c r="W21" s="69"/>
      <c r="X21" s="69"/>
      <c r="Y21" s="69"/>
      <c r="AA21" s="69"/>
    </row>
    <row r="23" spans="2:29" x14ac:dyDescent="0.25">
      <c r="G23" t="s">
        <v>378</v>
      </c>
    </row>
    <row r="24" spans="2:29" x14ac:dyDescent="0.25">
      <c r="C24" t="s">
        <v>736</v>
      </c>
      <c r="F24">
        <v>1</v>
      </c>
      <c r="G24">
        <v>3</v>
      </c>
      <c r="H24">
        <v>5</v>
      </c>
      <c r="I24">
        <v>7</v>
      </c>
      <c r="J24">
        <v>9</v>
      </c>
      <c r="K24">
        <v>10</v>
      </c>
      <c r="N24" t="s">
        <v>447</v>
      </c>
      <c r="O24">
        <f>PUBT</f>
        <v>0</v>
      </c>
    </row>
    <row r="25" spans="2:29" x14ac:dyDescent="0.25">
      <c r="C25" t="s">
        <v>380</v>
      </c>
      <c r="F25" s="3">
        <f>-0.0008*7^2+0.1569*7+0.452</f>
        <v>1.5111000000000001</v>
      </c>
      <c r="G25" s="3">
        <f>-0.0008*14^2+0.1569*14+0.452</f>
        <v>2.4918</v>
      </c>
      <c r="H25" s="3">
        <f>-0.0008*21^2+0.1569*21+0.452</f>
        <v>3.3940999999999999</v>
      </c>
      <c r="I25" s="3">
        <f>-0.0008*27^2+0.1569*27+0.452</f>
        <v>4.1051000000000002</v>
      </c>
      <c r="J25" s="3">
        <f>-0.0008*35^2+0.1569*35+0.452</f>
        <v>4.9634999999999998</v>
      </c>
      <c r="K25" s="3">
        <f>-0.0008*65^2+0.1569*65+0.452</f>
        <v>7.2705000000000002</v>
      </c>
      <c r="N25" t="s">
        <v>448</v>
      </c>
      <c r="O25">
        <f>PURCHMAINT</f>
        <v>0</v>
      </c>
      <c r="AB25" s="45"/>
      <c r="AC25" s="45"/>
    </row>
    <row r="26" spans="2:29" x14ac:dyDescent="0.25">
      <c r="C26" s="8" t="s">
        <v>385</v>
      </c>
      <c r="F26" s="3">
        <f t="shared" ref="F26:K26" si="1">F25*0.5</f>
        <v>0.75555000000000005</v>
      </c>
      <c r="G26" s="3">
        <f t="shared" si="1"/>
        <v>1.2459</v>
      </c>
      <c r="H26" s="3">
        <f t="shared" si="1"/>
        <v>1.6970499999999999</v>
      </c>
      <c r="I26" s="3">
        <f t="shared" si="1"/>
        <v>2.0525500000000001</v>
      </c>
      <c r="J26" s="3">
        <f t="shared" si="1"/>
        <v>2.4817499999999999</v>
      </c>
      <c r="K26" s="3">
        <f t="shared" si="1"/>
        <v>3.6352500000000001</v>
      </c>
      <c r="N26" s="46" t="s">
        <v>449</v>
      </c>
      <c r="O26">
        <f>TRAFUELS</f>
        <v>0</v>
      </c>
    </row>
    <row r="27" spans="2:29" x14ac:dyDescent="0.25">
      <c r="C27" t="s">
        <v>323</v>
      </c>
      <c r="F27" s="3">
        <f t="shared" ref="F27:K27" si="2">(F25+F26)/2.4</f>
        <v>0.94443750000000015</v>
      </c>
      <c r="G27" s="3">
        <f t="shared" si="2"/>
        <v>1.5573750000000002</v>
      </c>
      <c r="H27" s="3">
        <f t="shared" si="2"/>
        <v>2.1213125000000002</v>
      </c>
      <c r="I27" s="3">
        <f t="shared" si="2"/>
        <v>2.5656875000000001</v>
      </c>
      <c r="J27" s="3">
        <f t="shared" si="2"/>
        <v>3.1021874999999999</v>
      </c>
      <c r="K27" s="3">
        <f t="shared" si="2"/>
        <v>4.5440625000000008</v>
      </c>
    </row>
    <row r="28" spans="2:29" x14ac:dyDescent="0.25">
      <c r="C28" t="s">
        <v>393</v>
      </c>
    </row>
    <row r="29" spans="2:29" x14ac:dyDescent="0.25">
      <c r="C29" t="s">
        <v>384</v>
      </c>
      <c r="D29" t="s">
        <v>381</v>
      </c>
      <c r="F29" s="3">
        <f>0.4</f>
        <v>0.4</v>
      </c>
      <c r="G29" s="3">
        <f>0.4</f>
        <v>0.4</v>
      </c>
      <c r="H29" s="3">
        <f>0.4</f>
        <v>0.4</v>
      </c>
      <c r="I29" s="3">
        <f>0.4</f>
        <v>0.4</v>
      </c>
      <c r="J29" s="3">
        <f>0.4</f>
        <v>0.4</v>
      </c>
      <c r="K29" s="3">
        <v>0.9</v>
      </c>
      <c r="L29" t="s">
        <v>382</v>
      </c>
      <c r="O29" t="s">
        <v>383</v>
      </c>
    </row>
    <row r="31" spans="2:29" x14ac:dyDescent="0.25">
      <c r="B31" t="s">
        <v>421</v>
      </c>
      <c r="T31" t="s">
        <v>379</v>
      </c>
    </row>
    <row r="32" spans="2:29" x14ac:dyDescent="0.25">
      <c r="C32" t="s">
        <v>422</v>
      </c>
      <c r="E32" s="3" t="e">
        <f>IF(VEHC="One or more private vehicles",(-0.0008*INCSCORE^2+0.1569*INCSCORE+0.4521),IF(VEHC="Vehicle hired or belonging to Car Club",((-0.0008*INCSCORE^2+0.1569*INCSCORE+0.452)*0.4),IF(VEHC="None",(-0.0008*INCSCORE^2+0.1569*INCSCORE+0.452)*0.1)))</f>
        <v>#REF!</v>
      </c>
      <c r="G32" s="46" t="e">
        <f>IF(VEHC="One or more private vehicles",HHTRAFUELS/2.4*EXP(0.15*OCCNORM),IF(VEHC="Vehicle hired or belonging to Car Club",HHTRAFUELS/2.4*EXP(0.1*OCCNORM),IF(VEHC="None",HHTRAFUELS/2.4*EXP(0.05*OCCNORM))))</f>
        <v>#REF!</v>
      </c>
      <c r="I32" s="46" t="e">
        <f>IF(VEHC="One or more private vehicles", HHTRAFUELS*0.5/2.4*EXP(0.3*OCCNORM),IF(VEHC="Vehicle hired or belonging to Car Club",HHTRAFUELS*0.2/2.4*EXP(0.1*OCCNORM),IF(VEHC="None",HHTRAFUELS*0.1/2.4)))</f>
        <v>#REF!</v>
      </c>
      <c r="J32" s="46"/>
      <c r="K32" t="e">
        <f>IF(VEHC="One or more private vehicles", 0.4,IF(VEHC="Vehicle hired or belonging to Car Club",0.4*1.5,IF(VEHC="None", 0.4*2)))</f>
        <v>#REF!</v>
      </c>
      <c r="M32" t="s">
        <v>422</v>
      </c>
      <c r="N32" t="s">
        <v>424</v>
      </c>
      <c r="O32" t="s">
        <v>423</v>
      </c>
      <c r="T32" t="s">
        <v>345</v>
      </c>
      <c r="U32" t="s">
        <v>346</v>
      </c>
      <c r="V32" t="s">
        <v>137</v>
      </c>
      <c r="W32" t="s">
        <v>347</v>
      </c>
      <c r="X32" t="s">
        <v>348</v>
      </c>
    </row>
    <row r="33" spans="2:26" ht="15.75" thickBot="1" x14ac:dyDescent="0.3">
      <c r="B33" s="48"/>
      <c r="C33" t="s">
        <v>425</v>
      </c>
      <c r="E33" t="s">
        <v>427</v>
      </c>
      <c r="G33" t="s">
        <v>426</v>
      </c>
      <c r="I33" t="s">
        <v>428</v>
      </c>
      <c r="K33" t="s">
        <v>429</v>
      </c>
      <c r="R33">
        <f>20^0.15</f>
        <v>1.5673085376630795</v>
      </c>
      <c r="T33">
        <v>3</v>
      </c>
      <c r="U33">
        <v>1.5</v>
      </c>
      <c r="V33">
        <v>1</v>
      </c>
      <c r="W33">
        <v>0.7</v>
      </c>
      <c r="X33">
        <v>0.3</v>
      </c>
    </row>
    <row r="34" spans="2:26" ht="15.75" thickBot="1" x14ac:dyDescent="0.3">
      <c r="C34" s="49"/>
      <c r="E34" s="5"/>
      <c r="G34" s="5"/>
      <c r="I34" s="5"/>
      <c r="J34" s="51"/>
      <c r="K34" s="5"/>
      <c r="R34">
        <f>20*EXP(0.15)</f>
        <v>23.236684854565659</v>
      </c>
      <c r="T34" s="36" t="s">
        <v>340</v>
      </c>
      <c r="U34" s="36" t="s">
        <v>341</v>
      </c>
      <c r="V34" s="36" t="s">
        <v>342</v>
      </c>
      <c r="W34" s="37" t="s">
        <v>343</v>
      </c>
      <c r="X34" s="37" t="s">
        <v>344</v>
      </c>
      <c r="Z34" t="s">
        <v>349</v>
      </c>
    </row>
    <row r="35" spans="2:26" x14ac:dyDescent="0.25">
      <c r="R35">
        <f>20*LN(0.15)</f>
        <v>-37.942399697717626</v>
      </c>
      <c r="T35">
        <v>1.28</v>
      </c>
      <c r="U35">
        <v>1</v>
      </c>
      <c r="V35">
        <v>0.87</v>
      </c>
      <c r="W35">
        <v>0.5</v>
      </c>
      <c r="X35">
        <v>0.3</v>
      </c>
    </row>
    <row r="36" spans="2:26" x14ac:dyDescent="0.25">
      <c r="T36" s="36"/>
      <c r="U36" s="36"/>
      <c r="V36" s="36"/>
      <c r="W36" s="37"/>
      <c r="X36" s="37"/>
      <c r="Z36" s="37"/>
    </row>
    <row r="37" spans="2:26" x14ac:dyDescent="0.25">
      <c r="B37" s="50"/>
      <c r="C37" s="50"/>
      <c r="D37" s="50"/>
      <c r="E37" s="50"/>
      <c r="F37" s="50"/>
      <c r="G37" s="50"/>
      <c r="H37" s="50"/>
      <c r="I37" s="50"/>
      <c r="J37" s="50"/>
      <c r="K37" s="50"/>
      <c r="L37" s="50"/>
      <c r="M37" s="50"/>
      <c r="N37" s="50"/>
      <c r="T37" s="34"/>
      <c r="U37" s="34"/>
      <c r="V37" s="34"/>
      <c r="W37" s="38"/>
      <c r="X37" s="38"/>
    </row>
    <row r="43" spans="2:26" x14ac:dyDescent="0.25">
      <c r="K43" s="46"/>
      <c r="L43" s="3"/>
    </row>
    <row r="44" spans="2:26" x14ac:dyDescent="0.25">
      <c r="K44" s="46"/>
      <c r="L44" s="3"/>
    </row>
    <row r="45" spans="2:26" x14ac:dyDescent="0.25">
      <c r="K45" s="46"/>
      <c r="L45" s="3"/>
    </row>
    <row r="46" spans="2:26" x14ac:dyDescent="0.25">
      <c r="K46" s="46"/>
      <c r="L46" s="3"/>
    </row>
    <row r="47" spans="2:26" x14ac:dyDescent="0.25">
      <c r="K47" s="46"/>
      <c r="L47" s="3"/>
    </row>
    <row r="48" spans="2:26" x14ac:dyDescent="0.25">
      <c r="K48" s="47"/>
      <c r="L48" s="33"/>
      <c r="M48" s="5"/>
    </row>
    <row r="49" spans="11:13" x14ac:dyDescent="0.25">
      <c r="L49" s="3"/>
    </row>
    <row r="56" spans="11:13" x14ac:dyDescent="0.25">
      <c r="K56" s="46"/>
      <c r="L56" s="3"/>
    </row>
    <row r="57" spans="11:13" x14ac:dyDescent="0.25">
      <c r="K57" s="46"/>
      <c r="L57" s="3"/>
    </row>
    <row r="58" spans="11:13" x14ac:dyDescent="0.25">
      <c r="K58" s="46"/>
      <c r="L58" s="3"/>
    </row>
    <row r="59" spans="11:13" x14ac:dyDescent="0.25">
      <c r="K59" s="46"/>
      <c r="L59" s="3"/>
    </row>
    <row r="60" spans="11:13" x14ac:dyDescent="0.25">
      <c r="K60" s="46"/>
      <c r="L60" s="3"/>
    </row>
    <row r="61" spans="11:13" x14ac:dyDescent="0.25">
      <c r="K61" s="47"/>
      <c r="L61" s="33"/>
      <c r="M61" s="5"/>
    </row>
    <row r="62" spans="11:13" x14ac:dyDescent="0.25">
      <c r="L62" s="3"/>
    </row>
    <row r="69" spans="11:13" x14ac:dyDescent="0.25">
      <c r="K69" s="46"/>
      <c r="L69" s="3"/>
    </row>
    <row r="70" spans="11:13" x14ac:dyDescent="0.25">
      <c r="K70" s="46"/>
      <c r="L70" s="3"/>
    </row>
    <row r="71" spans="11:13" x14ac:dyDescent="0.25">
      <c r="K71" s="46"/>
      <c r="L71" s="3"/>
    </row>
    <row r="72" spans="11:13" x14ac:dyDescent="0.25">
      <c r="K72" s="46"/>
      <c r="L72" s="3"/>
    </row>
    <row r="73" spans="11:13" x14ac:dyDescent="0.25">
      <c r="K73" s="46"/>
      <c r="L73" s="3"/>
    </row>
    <row r="74" spans="11:13" x14ac:dyDescent="0.25">
      <c r="K74" s="47"/>
      <c r="L74" s="33"/>
      <c r="M74" s="5"/>
    </row>
    <row r="75" spans="11:13" x14ac:dyDescent="0.25">
      <c r="L75" s="3"/>
    </row>
    <row r="82" spans="11:13" x14ac:dyDescent="0.25">
      <c r="K82" s="46"/>
      <c r="L82" s="3"/>
    </row>
    <row r="83" spans="11:13" x14ac:dyDescent="0.25">
      <c r="K83" s="46"/>
      <c r="L83" s="3"/>
    </row>
    <row r="84" spans="11:13" x14ac:dyDescent="0.25">
      <c r="K84" s="46"/>
      <c r="L84" s="3"/>
    </row>
    <row r="85" spans="11:13" x14ac:dyDescent="0.25">
      <c r="K85" s="46"/>
      <c r="L85" s="3"/>
    </row>
    <row r="86" spans="11:13" x14ac:dyDescent="0.25">
      <c r="K86" s="46"/>
      <c r="L86" s="3"/>
    </row>
    <row r="87" spans="11:13" x14ac:dyDescent="0.25">
      <c r="K87" s="47"/>
      <c r="L87" s="33"/>
      <c r="M87" s="5"/>
    </row>
    <row r="88" spans="11:13" x14ac:dyDescent="0.25">
      <c r="L88" s="3"/>
    </row>
    <row r="95" spans="11:13" x14ac:dyDescent="0.25">
      <c r="K95" s="46"/>
      <c r="L95" s="3"/>
    </row>
    <row r="96" spans="11:13" x14ac:dyDescent="0.25">
      <c r="K96" s="46"/>
      <c r="L96" s="3"/>
    </row>
    <row r="97" spans="11:13" x14ac:dyDescent="0.25">
      <c r="K97" s="46"/>
      <c r="L97" s="3"/>
    </row>
    <row r="98" spans="11:13" x14ac:dyDescent="0.25">
      <c r="K98" s="46"/>
      <c r="L98" s="3"/>
    </row>
    <row r="99" spans="11:13" x14ac:dyDescent="0.25">
      <c r="K99" s="46"/>
      <c r="L99" s="3"/>
    </row>
    <row r="100" spans="11:13" x14ac:dyDescent="0.25">
      <c r="K100" s="47"/>
      <c r="L100" s="33"/>
      <c r="M100" s="5"/>
    </row>
    <row r="101" spans="11:13" x14ac:dyDescent="0.25">
      <c r="L101" s="3"/>
    </row>
    <row r="108" spans="11:13" x14ac:dyDescent="0.25">
      <c r="K108" s="46"/>
      <c r="L108" s="3"/>
    </row>
    <row r="109" spans="11:13" x14ac:dyDescent="0.25">
      <c r="K109" s="46"/>
      <c r="L109" s="3"/>
    </row>
    <row r="110" spans="11:13" x14ac:dyDescent="0.25">
      <c r="K110" s="46"/>
      <c r="L110" s="3"/>
    </row>
    <row r="111" spans="11:13" x14ac:dyDescent="0.25">
      <c r="K111" s="46"/>
      <c r="L111" s="3"/>
    </row>
    <row r="112" spans="11:13" x14ac:dyDescent="0.25">
      <c r="K112" s="46"/>
      <c r="L112" s="3"/>
    </row>
    <row r="113" spans="11:13" x14ac:dyDescent="0.25">
      <c r="K113" s="47"/>
      <c r="L113" s="33"/>
      <c r="M113" s="5"/>
    </row>
    <row r="114" spans="11:13" x14ac:dyDescent="0.25">
      <c r="L114" s="3"/>
    </row>
  </sheetData>
  <dataValidations count="4">
    <dataValidation type="list" allowBlank="1" showInputMessage="1" showErrorMessage="1" sqref="C34">
      <formula1>$L$31:$N$31</formula1>
    </dataValidation>
    <dataValidation type="list" allowBlank="1" showInputMessage="1" showErrorMessage="1" sqref="C7:C11">
      <formula1>$C$14:$C$18</formula1>
    </dataValidation>
    <dataValidation type="list" allowBlank="1" showInputMessage="1" showErrorMessage="1" sqref="D7:D11">
      <formula1>$E$14:$E$17</formula1>
    </dataValidation>
    <dataValidation type="list" allowBlank="1" showInputMessage="1" showErrorMessage="1" sqref="E7:E11">
      <formula1>$H$14:$H$18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21"/>
  <sheetViews>
    <sheetView showGridLines="0" showRowColHeaders="0" zoomScale="120" zoomScaleNormal="120" workbookViewId="0"/>
  </sheetViews>
  <sheetFormatPr defaultRowHeight="15" x14ac:dyDescent="0.25"/>
  <cols>
    <col min="1" max="1" width="44.28515625" customWidth="1"/>
    <col min="2" max="4" width="32.85546875" customWidth="1"/>
  </cols>
  <sheetData>
    <row r="1" spans="1:5" ht="33.75" x14ac:dyDescent="0.5">
      <c r="A1" s="305" t="s">
        <v>1449</v>
      </c>
      <c r="B1" s="166" t="s">
        <v>1450</v>
      </c>
      <c r="C1" s="164"/>
      <c r="D1" s="125"/>
      <c r="E1" s="125"/>
    </row>
    <row r="2" spans="1:5" x14ac:dyDescent="0.25">
      <c r="A2" s="125"/>
      <c r="B2" s="125"/>
      <c r="C2" s="125"/>
      <c r="D2" s="125"/>
      <c r="E2" s="125"/>
    </row>
    <row r="3" spans="1:5" ht="18.75" x14ac:dyDescent="0.3">
      <c r="A3" s="125"/>
      <c r="B3" s="167" t="s">
        <v>1370</v>
      </c>
      <c r="C3" s="168" t="s">
        <v>1367</v>
      </c>
      <c r="D3" s="168" t="s">
        <v>1373</v>
      </c>
      <c r="E3" s="125"/>
    </row>
    <row r="4" spans="1:5" ht="48.75" customHeight="1" x14ac:dyDescent="0.25">
      <c r="A4" s="125"/>
      <c r="B4" s="169" t="s">
        <v>1364</v>
      </c>
      <c r="C4" s="170" t="s">
        <v>1379</v>
      </c>
      <c r="D4" s="170" t="s">
        <v>1374</v>
      </c>
      <c r="E4" s="125"/>
    </row>
    <row r="5" spans="1:5" ht="48.75" customHeight="1" x14ac:dyDescent="0.25">
      <c r="A5" s="125"/>
      <c r="B5" s="169" t="s">
        <v>1363</v>
      </c>
      <c r="C5" s="170" t="s">
        <v>1368</v>
      </c>
      <c r="D5" s="170" t="s">
        <v>1375</v>
      </c>
      <c r="E5" s="125"/>
    </row>
    <row r="6" spans="1:5" ht="48.75" customHeight="1" x14ac:dyDescent="0.25">
      <c r="A6" s="125"/>
      <c r="B6" s="169" t="s">
        <v>1365</v>
      </c>
      <c r="C6" s="170" t="s">
        <v>1369</v>
      </c>
      <c r="D6" s="170" t="s">
        <v>1378</v>
      </c>
      <c r="E6" s="125"/>
    </row>
    <row r="7" spans="1:5" ht="48.75" customHeight="1" x14ac:dyDescent="0.25">
      <c r="A7" s="125"/>
      <c r="B7" s="169" t="s">
        <v>1366</v>
      </c>
      <c r="C7" s="170" t="s">
        <v>1457</v>
      </c>
      <c r="D7" s="170" t="s">
        <v>1376</v>
      </c>
      <c r="E7" s="125"/>
    </row>
    <row r="8" spans="1:5" ht="53.25" customHeight="1" x14ac:dyDescent="0.25">
      <c r="A8" s="125"/>
      <c r="B8" s="171" t="s">
        <v>1458</v>
      </c>
      <c r="C8" s="170" t="s">
        <v>1380</v>
      </c>
      <c r="D8" s="170" t="s">
        <v>1377</v>
      </c>
      <c r="E8" s="125"/>
    </row>
    <row r="9" spans="1:5" ht="48.75" customHeight="1" x14ac:dyDescent="0.25">
      <c r="A9" s="125"/>
      <c r="B9" s="137"/>
      <c r="C9" s="170" t="s">
        <v>1371</v>
      </c>
      <c r="D9" s="172"/>
      <c r="E9" s="125"/>
    </row>
    <row r="10" spans="1:5" ht="48.75" customHeight="1" x14ac:dyDescent="0.25">
      <c r="A10" s="175"/>
      <c r="B10" s="137"/>
      <c r="C10" s="170" t="s">
        <v>1372</v>
      </c>
      <c r="D10" s="172"/>
      <c r="E10" s="125"/>
    </row>
    <row r="11" spans="1:5" x14ac:dyDescent="0.25">
      <c r="A11" s="125"/>
      <c r="B11" s="125"/>
      <c r="C11" s="162"/>
      <c r="D11" s="125"/>
      <c r="E11" s="125"/>
    </row>
    <row r="12" spans="1:5" x14ac:dyDescent="0.25">
      <c r="C12" s="158"/>
    </row>
    <row r="13" spans="1:5" x14ac:dyDescent="0.25">
      <c r="C13" s="158"/>
    </row>
    <row r="14" spans="1:5" x14ac:dyDescent="0.25">
      <c r="C14" s="158"/>
    </row>
    <row r="15" spans="1:5" x14ac:dyDescent="0.25">
      <c r="C15" s="158"/>
    </row>
    <row r="16" spans="1:5" x14ac:dyDescent="0.25">
      <c r="C16" s="158"/>
    </row>
    <row r="19" spans="2:3" x14ac:dyDescent="0.25">
      <c r="B19" s="157"/>
      <c r="C19" s="157"/>
    </row>
    <row r="20" spans="2:3" ht="60" x14ac:dyDescent="0.25">
      <c r="B20" s="157" t="s">
        <v>1381</v>
      </c>
      <c r="C20" s="157"/>
    </row>
    <row r="21" spans="2:3" x14ac:dyDescent="0.25">
      <c r="B21" s="157"/>
      <c r="C21" s="157"/>
    </row>
  </sheetData>
  <pageMargins left="0.7" right="0.7" top="0.75" bottom="0.75"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00"/>
  </sheetPr>
  <dimension ref="A1:X58"/>
  <sheetViews>
    <sheetView showGridLines="0" showRowColHeaders="0" zoomScale="120" zoomScaleNormal="120" workbookViewId="0"/>
  </sheetViews>
  <sheetFormatPr defaultRowHeight="15" x14ac:dyDescent="0.25"/>
  <cols>
    <col min="1" max="1" width="44.28515625" style="140" customWidth="1"/>
    <col min="2" max="2" width="17.140625" style="140" customWidth="1"/>
    <col min="3" max="3" width="28.28515625" style="140" customWidth="1"/>
    <col min="4" max="4" width="20.85546875" style="140" customWidth="1"/>
    <col min="5" max="5" width="40.140625" style="140" customWidth="1"/>
    <col min="6" max="9" width="9.140625" style="140"/>
    <col min="10" max="10" width="48" style="140" customWidth="1"/>
    <col min="11" max="16384" width="9.140625" style="140"/>
  </cols>
  <sheetData>
    <row r="1" spans="1:21" ht="33.75" customHeight="1" x14ac:dyDescent="0.5">
      <c r="A1" s="228" t="s">
        <v>1291</v>
      </c>
      <c r="B1" s="174">
        <f>HHSH/2.3*EXP(0.3*OCCNORM)</f>
        <v>1.2950895652173917</v>
      </c>
      <c r="C1" s="138"/>
      <c r="D1" s="138"/>
      <c r="E1" s="138"/>
    </row>
    <row r="2" spans="1:21" ht="18.75" x14ac:dyDescent="0.3">
      <c r="A2" s="132"/>
      <c r="B2" s="238" t="s">
        <v>1306</v>
      </c>
      <c r="C2" s="138"/>
      <c r="D2" s="138"/>
      <c r="E2" s="138"/>
      <c r="K2" s="99">
        <f>IF(DWT="Passive House",SIZEST*DWTCOEF*(1+(THERM-21)*0.03),IF(DWA="Post-1990",SIZEST*DWTCOEF*DWACOEF*THERMCOEF*HCCOEF,SIZEST*DWTCOEF*DWACOEF*INSCOEF*DPCOEF*CONTCOEF*THERMCOEF*HCCOEF))</f>
        <v>2.9787060000000007</v>
      </c>
    </row>
    <row r="3" spans="1:21" ht="28.5" customHeight="1" x14ac:dyDescent="0.35">
      <c r="A3" s="138"/>
      <c r="B3" s="239" t="s">
        <v>1189</v>
      </c>
      <c r="C3" s="138"/>
      <c r="D3" s="239" t="s">
        <v>1462</v>
      </c>
      <c r="E3" s="138"/>
      <c r="G3" s="240"/>
      <c r="H3" s="240"/>
      <c r="I3" s="240"/>
      <c r="J3" s="240"/>
      <c r="K3" s="140" t="s">
        <v>600</v>
      </c>
      <c r="M3" s="140" t="s">
        <v>601</v>
      </c>
    </row>
    <row r="4" spans="1:21" ht="28.5" customHeight="1" x14ac:dyDescent="0.25">
      <c r="A4" s="138"/>
      <c r="B4" s="241" t="s">
        <v>1461</v>
      </c>
      <c r="C4" s="138"/>
      <c r="D4" s="242" t="s">
        <v>1513</v>
      </c>
      <c r="E4" s="138"/>
      <c r="F4" s="240"/>
      <c r="G4" s="240"/>
      <c r="H4" s="240"/>
      <c r="I4" s="240"/>
      <c r="J4" s="240"/>
      <c r="K4" s="140" t="s">
        <v>602</v>
      </c>
      <c r="M4" s="140" t="s">
        <v>603</v>
      </c>
    </row>
    <row r="5" spans="1:21" ht="28.5" customHeight="1" x14ac:dyDescent="0.25">
      <c r="A5" s="138"/>
      <c r="B5" s="218" t="s">
        <v>559</v>
      </c>
      <c r="C5" s="138"/>
      <c r="D5" s="218" t="s">
        <v>1195</v>
      </c>
      <c r="E5" s="129"/>
      <c r="F5" s="123"/>
      <c r="G5" s="240"/>
      <c r="H5" s="240"/>
      <c r="I5" s="240"/>
      <c r="J5" s="240"/>
      <c r="K5" s="140" t="s">
        <v>564</v>
      </c>
    </row>
    <row r="6" spans="1:21" ht="28.5" customHeight="1" x14ac:dyDescent="0.35">
      <c r="A6" s="138"/>
      <c r="B6" s="239" t="s">
        <v>1190</v>
      </c>
      <c r="C6" s="138"/>
      <c r="D6" s="239" t="s">
        <v>1463</v>
      </c>
      <c r="E6" s="138"/>
      <c r="F6" s="240"/>
      <c r="G6" s="240"/>
      <c r="H6" s="240"/>
      <c r="I6" s="240"/>
      <c r="J6" s="240"/>
      <c r="K6" s="140" t="s">
        <v>565</v>
      </c>
    </row>
    <row r="7" spans="1:21" ht="28.5" customHeight="1" x14ac:dyDescent="0.25">
      <c r="A7" s="138"/>
      <c r="B7" s="241" t="s">
        <v>1193</v>
      </c>
      <c r="C7" s="138"/>
      <c r="D7" s="241" t="s">
        <v>1460</v>
      </c>
      <c r="E7" s="138"/>
      <c r="G7" s="240"/>
      <c r="H7" s="240"/>
      <c r="I7" s="240"/>
      <c r="J7" s="240"/>
      <c r="K7" s="140" t="s">
        <v>566</v>
      </c>
      <c r="Q7" s="243" t="s">
        <v>557</v>
      </c>
      <c r="S7" s="243">
        <v>0.98</v>
      </c>
    </row>
    <row r="8" spans="1:21" ht="28.5" customHeight="1" x14ac:dyDescent="0.25">
      <c r="A8" s="138"/>
      <c r="B8" s="218" t="s">
        <v>570</v>
      </c>
      <c r="C8" s="138"/>
      <c r="D8" s="314">
        <v>21</v>
      </c>
      <c r="E8" s="138"/>
      <c r="F8" s="240"/>
      <c r="G8" s="240"/>
      <c r="H8" s="240"/>
      <c r="I8" s="240"/>
      <c r="J8" s="240"/>
      <c r="K8" s="244" t="s">
        <v>307</v>
      </c>
      <c r="L8" s="153">
        <f>1.2+BDRNO*1.6</f>
        <v>6.0000000000000009</v>
      </c>
      <c r="M8" s="244" t="s">
        <v>675</v>
      </c>
      <c r="Q8" s="243" t="s">
        <v>558</v>
      </c>
      <c r="S8" s="243">
        <v>0.84</v>
      </c>
    </row>
    <row r="9" spans="1:21" ht="28.5" customHeight="1" x14ac:dyDescent="0.35">
      <c r="A9" s="138"/>
      <c r="B9" s="239" t="s">
        <v>1191</v>
      </c>
      <c r="C9" s="138"/>
      <c r="D9" s="239" t="s">
        <v>1464</v>
      </c>
      <c r="E9" s="138"/>
      <c r="F9" s="240"/>
      <c r="G9" s="240"/>
      <c r="H9" s="240"/>
      <c r="I9" s="240"/>
      <c r="J9" s="240"/>
      <c r="K9" s="244" t="s">
        <v>553</v>
      </c>
      <c r="L9" s="153">
        <f>1.75*ROOMNO^2-6*ROOMNO+60</f>
        <v>87.000000000000028</v>
      </c>
      <c r="M9" s="244" t="s">
        <v>676</v>
      </c>
      <c r="Q9" s="243" t="s">
        <v>559</v>
      </c>
      <c r="S9" s="243">
        <v>1.06</v>
      </c>
    </row>
    <row r="10" spans="1:21" ht="28.5" customHeight="1" x14ac:dyDescent="0.25">
      <c r="A10" s="138"/>
      <c r="B10" s="241" t="s">
        <v>1192</v>
      </c>
      <c r="C10" s="138"/>
      <c r="D10" s="241"/>
      <c r="E10" s="138"/>
      <c r="F10" s="240"/>
      <c r="G10" s="240"/>
      <c r="H10" s="240"/>
      <c r="I10" s="240"/>
      <c r="J10" s="240"/>
      <c r="K10" s="244" t="s">
        <v>555</v>
      </c>
      <c r="L10" s="245">
        <f>TFA*0.034</f>
        <v>2.9580000000000011</v>
      </c>
      <c r="M10" s="244" t="s">
        <v>677</v>
      </c>
      <c r="Q10" s="243" t="s">
        <v>560</v>
      </c>
      <c r="S10" s="243">
        <v>1.5</v>
      </c>
    </row>
    <row r="11" spans="1:21" ht="28.5" customHeight="1" x14ac:dyDescent="0.25">
      <c r="A11" s="138"/>
      <c r="B11" s="218" t="s">
        <v>578</v>
      </c>
      <c r="C11" s="129"/>
      <c r="D11" s="218" t="s">
        <v>594</v>
      </c>
      <c r="E11" s="138"/>
      <c r="F11" s="240"/>
      <c r="G11" s="240"/>
      <c r="H11" s="240"/>
      <c r="I11" s="240"/>
      <c r="J11" s="240"/>
      <c r="K11" s="244" t="s">
        <v>563</v>
      </c>
      <c r="L11" s="244"/>
      <c r="M11" s="244"/>
      <c r="Q11" s="243" t="s">
        <v>561</v>
      </c>
      <c r="S11" s="243">
        <v>0.95</v>
      </c>
    </row>
    <row r="12" spans="1:21" ht="28.5" customHeight="1" x14ac:dyDescent="0.35">
      <c r="A12" s="138"/>
      <c r="B12" s="239" t="s">
        <v>1194</v>
      </c>
      <c r="C12" s="138"/>
      <c r="D12" s="138"/>
      <c r="E12" s="138"/>
      <c r="F12" s="240"/>
      <c r="G12" s="240"/>
      <c r="H12" s="240"/>
      <c r="I12" s="240"/>
      <c r="J12" s="240"/>
      <c r="K12" s="244" t="s">
        <v>567</v>
      </c>
      <c r="M12" s="244"/>
      <c r="N12" s="143" t="s">
        <v>556</v>
      </c>
      <c r="O12" s="143"/>
      <c r="Q12" s="243" t="s">
        <v>562</v>
      </c>
      <c r="S12" s="243">
        <v>0.72</v>
      </c>
    </row>
    <row r="13" spans="1:21" ht="28.5" customHeight="1" x14ac:dyDescent="0.25">
      <c r="A13" s="138"/>
      <c r="B13" s="241" t="s">
        <v>1473</v>
      </c>
      <c r="C13" s="138"/>
      <c r="D13" s="138"/>
      <c r="E13" s="138"/>
      <c r="F13" s="240"/>
      <c r="G13" s="240"/>
      <c r="H13" s="240"/>
      <c r="I13" s="240"/>
      <c r="J13" s="240"/>
      <c r="K13" s="244" t="s">
        <v>568</v>
      </c>
      <c r="L13" s="153">
        <f>IF(DWT="End terrace",0.98,IF(DWT="Mid terrace",0.84,IF(DWT="Semi-detached",1.06,IF(DWT="Detached",1.5,IF(DWT="Bungalow",0.95,IF(DWT="Flat",0.72,IF(DWT="Passive House",0.25)))))))</f>
        <v>1.06</v>
      </c>
      <c r="M13" s="244"/>
      <c r="N13" s="147">
        <f>SIZEST</f>
        <v>2.9580000000000011</v>
      </c>
      <c r="O13" s="143" t="s">
        <v>555</v>
      </c>
      <c r="Q13" s="243" t="s">
        <v>592</v>
      </c>
      <c r="S13" s="243">
        <v>0.25</v>
      </c>
    </row>
    <row r="14" spans="1:21" ht="28.5" customHeight="1" x14ac:dyDescent="0.25">
      <c r="A14" s="138"/>
      <c r="B14" s="218" t="s">
        <v>578</v>
      </c>
      <c r="C14" s="129"/>
      <c r="D14" s="138"/>
      <c r="E14" s="138"/>
      <c r="F14" s="240"/>
      <c r="G14" s="240"/>
      <c r="H14" s="240"/>
      <c r="I14" s="240"/>
      <c r="J14" s="240"/>
      <c r="K14" s="244" t="s">
        <v>572</v>
      </c>
      <c r="L14" s="244"/>
    </row>
    <row r="15" spans="1:21" ht="15.75" x14ac:dyDescent="0.25">
      <c r="A15" s="138"/>
      <c r="B15" s="138"/>
      <c r="C15" s="138"/>
      <c r="D15" s="138"/>
      <c r="E15" s="138"/>
      <c r="F15" s="240"/>
      <c r="G15" s="240"/>
      <c r="H15" s="240"/>
      <c r="I15" s="240"/>
      <c r="J15" s="240"/>
      <c r="K15" s="244" t="s">
        <v>573</v>
      </c>
      <c r="Q15" s="243" t="s">
        <v>1344</v>
      </c>
      <c r="S15" s="243">
        <v>1.2</v>
      </c>
      <c r="U15" s="140" t="s">
        <v>564</v>
      </c>
    </row>
    <row r="16" spans="1:21" ht="15.75" x14ac:dyDescent="0.25">
      <c r="D16" s="143"/>
      <c r="E16" s="143"/>
      <c r="F16" s="240"/>
      <c r="G16" s="240"/>
      <c r="H16" s="240"/>
      <c r="I16" s="240"/>
      <c r="J16" s="240"/>
      <c r="K16" s="244" t="s">
        <v>574</v>
      </c>
      <c r="L16" s="153">
        <f>IF(DWT="Passive House",1,IF(DWA="Before 1945",1.2,IF(DWA="1945-1990",1,IF(DWA="Post-1990",0.67))))</f>
        <v>1</v>
      </c>
      <c r="Q16" s="243" t="s">
        <v>570</v>
      </c>
      <c r="S16" s="243">
        <v>1</v>
      </c>
    </row>
    <row r="17" spans="1:24" ht="15.75" x14ac:dyDescent="0.25">
      <c r="D17" s="143"/>
      <c r="E17" s="143"/>
      <c r="F17" s="246"/>
      <c r="G17" s="240"/>
      <c r="H17" s="240"/>
      <c r="I17" s="240"/>
      <c r="J17" s="240"/>
      <c r="K17" s="244" t="s">
        <v>576</v>
      </c>
      <c r="M17" s="244" t="s">
        <v>577</v>
      </c>
      <c r="Q17" s="243" t="s">
        <v>571</v>
      </c>
      <c r="S17" s="243">
        <v>0.67</v>
      </c>
    </row>
    <row r="18" spans="1:24" x14ac:dyDescent="0.25">
      <c r="C18" s="143"/>
      <c r="D18" s="143"/>
      <c r="E18" s="143"/>
      <c r="F18" s="240"/>
      <c r="G18" s="240"/>
      <c r="H18" s="240"/>
      <c r="I18" s="240"/>
      <c r="J18" s="240"/>
      <c r="K18" s="244" t="s">
        <v>580</v>
      </c>
      <c r="L18" s="153">
        <f>IF(DWT="Passive House",1,IF(INS="None",1.03,IF(INS="Basic",1,IF(INS="Extra thick",0.9))))</f>
        <v>1</v>
      </c>
    </row>
    <row r="19" spans="1:24" ht="15.75" x14ac:dyDescent="0.25">
      <c r="D19" s="143"/>
      <c r="E19" s="143"/>
      <c r="F19" s="240"/>
      <c r="G19" s="240"/>
      <c r="H19" s="240"/>
      <c r="I19" s="240"/>
      <c r="J19" s="240"/>
      <c r="K19" s="244" t="s">
        <v>582</v>
      </c>
      <c r="M19" s="244" t="s">
        <v>581</v>
      </c>
      <c r="T19" s="243"/>
      <c r="X19" s="243"/>
    </row>
    <row r="20" spans="1:24" ht="15.75" x14ac:dyDescent="0.25">
      <c r="C20" s="143"/>
      <c r="E20" s="143"/>
      <c r="F20" s="240"/>
      <c r="G20" s="240"/>
      <c r="H20" s="240"/>
      <c r="I20" s="240"/>
      <c r="J20" s="240"/>
      <c r="K20" s="244" t="s">
        <v>583</v>
      </c>
      <c r="L20" s="153">
        <f>IF(DWT="Passive House",1,IF(DP="Basic",0.95,IF(DP="Very thorough", 0.9, IF(DP="None",1))))</f>
        <v>0.95</v>
      </c>
      <c r="Q20" s="243" t="s">
        <v>423</v>
      </c>
      <c r="S20" s="140">
        <v>1.03</v>
      </c>
      <c r="T20" s="243"/>
      <c r="U20" s="140" t="s">
        <v>587</v>
      </c>
      <c r="W20" s="243"/>
    </row>
    <row r="21" spans="1:24" ht="15.75" x14ac:dyDescent="0.25">
      <c r="D21" s="143"/>
      <c r="E21" s="143"/>
      <c r="F21" s="240"/>
      <c r="G21" s="240"/>
      <c r="H21" s="240"/>
      <c r="I21" s="240"/>
      <c r="J21" s="240"/>
      <c r="K21" s="244" t="s">
        <v>585</v>
      </c>
      <c r="M21" s="244" t="s">
        <v>575</v>
      </c>
      <c r="Q21" s="243" t="s">
        <v>578</v>
      </c>
      <c r="S21" s="140">
        <v>1</v>
      </c>
      <c r="T21" s="243"/>
      <c r="U21" s="140" t="s">
        <v>588</v>
      </c>
      <c r="X21" s="243"/>
    </row>
    <row r="22" spans="1:24" ht="15.75" x14ac:dyDescent="0.25">
      <c r="D22" s="143"/>
      <c r="E22" s="143"/>
      <c r="F22" s="240"/>
      <c r="K22" s="244" t="s">
        <v>586</v>
      </c>
      <c r="L22" s="153">
        <f>IF(DWT="Passive House",1,IF(CONT="Basic", 1.05,IF(CONT="Thermostat",1,IF(CONT="Timer and thermostat",0.9,IF(CONT="Controls for separate rooms",0.8)))))</f>
        <v>1</v>
      </c>
      <c r="Q22" s="243" t="s">
        <v>579</v>
      </c>
      <c r="S22" s="140">
        <v>0.9</v>
      </c>
      <c r="T22" s="243"/>
      <c r="U22" s="243" t="s">
        <v>589</v>
      </c>
    </row>
    <row r="23" spans="1:24" ht="15.75" x14ac:dyDescent="0.25">
      <c r="D23" s="143"/>
      <c r="E23" s="143"/>
      <c r="F23" s="143"/>
      <c r="K23" s="244" t="s">
        <v>599</v>
      </c>
      <c r="L23" s="247">
        <f>1+((THERM-21)*0.08)</f>
        <v>1</v>
      </c>
      <c r="T23" s="243"/>
      <c r="U23" s="140" t="s">
        <v>590</v>
      </c>
      <c r="X23" s="243"/>
    </row>
    <row r="24" spans="1:24" ht="15.75" x14ac:dyDescent="0.25">
      <c r="B24" s="143"/>
      <c r="D24" s="143"/>
      <c r="E24" s="143"/>
      <c r="F24" s="143"/>
      <c r="K24" s="244" t="s">
        <v>598</v>
      </c>
      <c r="L24" s="247">
        <f>IF(HC="Ignore",1,IF(HC="Set and neglect",0.95,IF(HC="Always use cleverly",0.85)))</f>
        <v>1</v>
      </c>
      <c r="T24" s="243"/>
      <c r="U24" s="140" t="s">
        <v>591</v>
      </c>
      <c r="X24" s="243"/>
    </row>
    <row r="25" spans="1:24" ht="15.75" x14ac:dyDescent="0.25">
      <c r="B25" s="143"/>
      <c r="D25" s="143"/>
      <c r="E25" s="143"/>
      <c r="F25" s="143"/>
      <c r="Q25" s="243" t="s">
        <v>423</v>
      </c>
      <c r="S25" s="140">
        <v>1</v>
      </c>
      <c r="T25" s="243"/>
      <c r="U25" s="140" t="s">
        <v>699</v>
      </c>
      <c r="X25" s="243"/>
    </row>
    <row r="26" spans="1:24" ht="15.75" x14ac:dyDescent="0.25">
      <c r="B26" s="143"/>
      <c r="D26" s="143"/>
      <c r="E26" s="143"/>
      <c r="F26" s="143"/>
      <c r="Q26" s="243" t="s">
        <v>578</v>
      </c>
      <c r="S26" s="140">
        <v>0.95</v>
      </c>
    </row>
    <row r="27" spans="1:24" ht="15.75" x14ac:dyDescent="0.25">
      <c r="B27" s="143"/>
      <c r="D27" s="143"/>
      <c r="E27" s="143"/>
      <c r="F27" s="143"/>
      <c r="Q27" s="243" t="s">
        <v>584</v>
      </c>
      <c r="S27" s="140">
        <v>0.9</v>
      </c>
    </row>
    <row r="28" spans="1:24" x14ac:dyDescent="0.25">
      <c r="B28" s="143"/>
      <c r="C28" s="143"/>
      <c r="D28" s="143"/>
      <c r="E28" s="143"/>
      <c r="F28" s="143"/>
      <c r="V28" s="140" t="s">
        <v>555</v>
      </c>
      <c r="W28" s="140" t="s">
        <v>567</v>
      </c>
      <c r="X28" s="140" t="s">
        <v>576</v>
      </c>
    </row>
    <row r="29" spans="1:24" ht="15.75" x14ac:dyDescent="0.25">
      <c r="B29" s="143"/>
      <c r="C29" s="143"/>
      <c r="D29" s="143"/>
      <c r="E29" s="143"/>
      <c r="F29" s="143"/>
      <c r="Q29" s="248" t="s">
        <v>578</v>
      </c>
      <c r="S29" s="140">
        <v>1.05</v>
      </c>
    </row>
    <row r="30" spans="1:24" x14ac:dyDescent="0.25">
      <c r="A30" s="143"/>
      <c r="D30" s="143"/>
      <c r="E30" s="143"/>
      <c r="F30" s="143"/>
      <c r="Q30" s="148" t="s">
        <v>1195</v>
      </c>
      <c r="S30" s="140">
        <v>1</v>
      </c>
    </row>
    <row r="31" spans="1:24" x14ac:dyDescent="0.25">
      <c r="D31" s="143"/>
      <c r="E31" s="143"/>
      <c r="F31" s="143"/>
      <c r="Q31" s="148" t="s">
        <v>1345</v>
      </c>
      <c r="S31" s="140">
        <v>0.9</v>
      </c>
    </row>
    <row r="32" spans="1:24" x14ac:dyDescent="0.25">
      <c r="D32" s="143"/>
      <c r="E32" s="143"/>
      <c r="F32" s="143"/>
      <c r="Q32" s="148" t="s">
        <v>1346</v>
      </c>
      <c r="S32" s="140">
        <v>0.8</v>
      </c>
    </row>
    <row r="33" spans="2:18" x14ac:dyDescent="0.25">
      <c r="D33" s="143"/>
      <c r="E33" s="143"/>
      <c r="F33" s="143"/>
    </row>
    <row r="34" spans="2:18" x14ac:dyDescent="0.25">
      <c r="P34" s="140" t="s">
        <v>594</v>
      </c>
      <c r="R34" s="140">
        <v>1.03</v>
      </c>
    </row>
    <row r="35" spans="2:18" x14ac:dyDescent="0.25">
      <c r="P35" s="140" t="s">
        <v>596</v>
      </c>
      <c r="R35" s="140">
        <v>1</v>
      </c>
    </row>
    <row r="36" spans="2:18" x14ac:dyDescent="0.25">
      <c r="P36" s="140" t="s">
        <v>597</v>
      </c>
      <c r="R36" s="140">
        <v>0.9</v>
      </c>
    </row>
    <row r="37" spans="2:18" x14ac:dyDescent="0.25">
      <c r="O37" s="140" t="s">
        <v>585</v>
      </c>
      <c r="P37" s="140" t="s">
        <v>593</v>
      </c>
      <c r="R37" s="140" t="s">
        <v>595</v>
      </c>
    </row>
    <row r="41" spans="2:18" x14ac:dyDescent="0.25">
      <c r="B41" s="244"/>
      <c r="C41" s="244"/>
      <c r="D41" s="244"/>
    </row>
    <row r="51" spans="2:4" x14ac:dyDescent="0.25">
      <c r="B51" s="143"/>
      <c r="C51" s="143"/>
      <c r="D51" s="143"/>
    </row>
    <row r="52" spans="2:4" x14ac:dyDescent="0.25">
      <c r="B52" s="143"/>
      <c r="C52" s="143"/>
      <c r="D52" s="143"/>
    </row>
    <row r="53" spans="2:4" x14ac:dyDescent="0.25">
      <c r="B53" s="143"/>
      <c r="C53" s="143"/>
      <c r="D53" s="143"/>
    </row>
    <row r="54" spans="2:4" x14ac:dyDescent="0.25">
      <c r="B54" s="143"/>
      <c r="C54" s="143"/>
      <c r="D54" s="143"/>
    </row>
    <row r="55" spans="2:4" x14ac:dyDescent="0.25">
      <c r="B55" s="143"/>
      <c r="C55" s="143"/>
      <c r="D55" s="143"/>
    </row>
    <row r="56" spans="2:4" x14ac:dyDescent="0.25">
      <c r="B56" s="143"/>
      <c r="C56" s="143"/>
      <c r="D56" s="143"/>
    </row>
    <row r="57" spans="2:4" x14ac:dyDescent="0.25">
      <c r="B57" s="143"/>
      <c r="C57" s="143"/>
      <c r="D57" s="143"/>
    </row>
    <row r="58" spans="2:4" x14ac:dyDescent="0.25">
      <c r="B58" s="143"/>
      <c r="C58" s="143"/>
      <c r="D58" s="143"/>
    </row>
  </sheetData>
  <dataValidations count="5">
    <dataValidation type="list" allowBlank="1" showInputMessage="1" showErrorMessage="1" sqref="B11">
      <formula1>INSUL</formula1>
    </dataValidation>
    <dataValidation type="list" allowBlank="1" showInputMessage="1" showErrorMessage="1" sqref="B14">
      <formula1>DRPRF</formula1>
    </dataValidation>
    <dataValidation type="list" allowBlank="1" showInputMessage="1" showErrorMessage="1" sqref="D11">
      <formula1>CONTROLS</formula1>
    </dataValidation>
    <dataValidation type="list" allowBlank="1" showInputMessage="1" showErrorMessage="1" sqref="B5">
      <formula1>DTYPE</formula1>
    </dataValidation>
    <dataValidation type="list" allowBlank="1" showInputMessage="1" showErrorMessage="1" sqref="B8">
      <formula1>$Q$15:$Q$17</formula1>
    </dataValidation>
  </dataValidations>
  <pageMargins left="0.7" right="0.7" top="0.75" bottom="0.75" header="0.3" footer="0.3"/>
  <pageSetup paperSize="9" orientation="portrait"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'NAMES &amp; VALUES'!$K$35:$K$38</xm:f>
          </x14:formula1>
          <xm:sqref>D5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16"/>
  <sheetViews>
    <sheetView showGridLines="0" showRowColHeaders="0" zoomScale="120" zoomScaleNormal="120" workbookViewId="0"/>
  </sheetViews>
  <sheetFormatPr defaultRowHeight="15" x14ac:dyDescent="0.25"/>
  <cols>
    <col min="1" max="1" width="44.28515625" style="140" customWidth="1"/>
    <col min="2" max="2" width="17.140625" style="140" customWidth="1"/>
    <col min="3" max="3" width="85.42578125" style="140" customWidth="1"/>
    <col min="4" max="5" width="9.140625" style="140"/>
    <col min="6" max="6" width="76" style="140" customWidth="1"/>
    <col min="7" max="16384" width="9.140625" style="140"/>
  </cols>
  <sheetData>
    <row r="1" spans="1:19" ht="33.75" customHeight="1" x14ac:dyDescent="0.5">
      <c r="A1" s="228" t="s">
        <v>679</v>
      </c>
      <c r="B1" s="174">
        <f>((KITCH+HYG)-(SOL))</f>
        <v>0.42125599999999996</v>
      </c>
      <c r="C1" s="138"/>
    </row>
    <row r="2" spans="1:19" ht="18.75" customHeight="1" x14ac:dyDescent="0.25">
      <c r="A2" s="138"/>
      <c r="B2" s="238" t="s">
        <v>1306</v>
      </c>
      <c r="C2" s="138"/>
    </row>
    <row r="3" spans="1:19" ht="28.5" customHeight="1" x14ac:dyDescent="0.35">
      <c r="A3" s="138"/>
      <c r="B3" s="250" t="s">
        <v>1465</v>
      </c>
      <c r="C3" s="138"/>
      <c r="F3" s="251"/>
      <c r="I3" s="140" t="s">
        <v>678</v>
      </c>
    </row>
    <row r="4" spans="1:19" ht="28.5" customHeight="1" x14ac:dyDescent="0.25">
      <c r="A4" s="138"/>
      <c r="B4" s="252" t="s">
        <v>1471</v>
      </c>
      <c r="C4" s="138"/>
      <c r="D4" s="143"/>
      <c r="F4" s="240"/>
      <c r="I4" s="140" t="s">
        <v>680</v>
      </c>
      <c r="K4" s="140">
        <v>0.38</v>
      </c>
      <c r="L4" s="140" t="s">
        <v>682</v>
      </c>
      <c r="M4" s="74" t="s">
        <v>684</v>
      </c>
      <c r="N4" s="100">
        <v>0.16500000000000001</v>
      </c>
      <c r="O4" s="140" t="s">
        <v>683</v>
      </c>
      <c r="P4" s="74" t="s">
        <v>695</v>
      </c>
      <c r="Q4" s="253">
        <f>AVKITCH*EXP(0.2*OCCNORM)</f>
        <v>0.16500000000000001</v>
      </c>
      <c r="S4" s="140">
        <v>0.16500000000000001</v>
      </c>
    </row>
    <row r="5" spans="1:19" ht="28.5" customHeight="1" x14ac:dyDescent="0.25">
      <c r="A5" s="138"/>
      <c r="B5" s="227" t="s">
        <v>688</v>
      </c>
      <c r="C5" s="138"/>
      <c r="D5" s="143"/>
      <c r="F5" s="240"/>
      <c r="G5" s="74" t="s">
        <v>700</v>
      </c>
      <c r="I5" s="140" t="s">
        <v>681</v>
      </c>
      <c r="K5" s="140">
        <v>0.62</v>
      </c>
      <c r="L5" s="140" t="s">
        <v>682</v>
      </c>
      <c r="M5" s="74" t="s">
        <v>685</v>
      </c>
      <c r="N5" s="100">
        <v>0.27</v>
      </c>
      <c r="O5" s="140" t="s">
        <v>683</v>
      </c>
      <c r="P5" s="74" t="s">
        <v>696</v>
      </c>
      <c r="Q5" s="253">
        <f>(0.088*SHOWNUM*SHOWMIN*POWERSH*52)*EXP(0.05*OCCNORM)/1000</f>
        <v>0.25625599999999998</v>
      </c>
      <c r="S5" s="140">
        <v>2.2879999999999994E-2</v>
      </c>
    </row>
    <row r="6" spans="1:19" ht="28.5" customHeight="1" x14ac:dyDescent="0.35">
      <c r="A6" s="138"/>
      <c r="B6" s="250" t="s">
        <v>1466</v>
      </c>
      <c r="C6" s="138"/>
      <c r="D6" s="143"/>
      <c r="F6" s="240"/>
      <c r="I6" s="140" t="s">
        <v>693</v>
      </c>
      <c r="K6" s="149">
        <v>0.22800000000000001</v>
      </c>
      <c r="N6" s="140">
        <v>0.1</v>
      </c>
      <c r="P6" s="74" t="s">
        <v>697</v>
      </c>
      <c r="Q6" s="153">
        <f>SOLARW/PEOPLE</f>
        <v>0</v>
      </c>
      <c r="S6" s="140">
        <v>0</v>
      </c>
    </row>
    <row r="7" spans="1:19" ht="28.5" customHeight="1" x14ac:dyDescent="0.25">
      <c r="A7" s="138"/>
      <c r="B7" s="252" t="s">
        <v>1467</v>
      </c>
      <c r="C7" s="138"/>
      <c r="D7" s="143"/>
      <c r="F7" s="240"/>
    </row>
    <row r="8" spans="1:19" ht="28.5" customHeight="1" x14ac:dyDescent="0.25">
      <c r="A8" s="138"/>
      <c r="B8" s="176">
        <v>8</v>
      </c>
      <c r="C8" s="254" t="s">
        <v>691</v>
      </c>
      <c r="F8" s="240"/>
      <c r="I8" s="140" t="s">
        <v>698</v>
      </c>
    </row>
    <row r="9" spans="1:19" ht="28.5" customHeight="1" x14ac:dyDescent="0.35">
      <c r="A9" s="138"/>
      <c r="B9" s="250" t="s">
        <v>1469</v>
      </c>
      <c r="C9" s="138"/>
      <c r="F9" s="240"/>
      <c r="G9" s="255" t="s">
        <v>692</v>
      </c>
      <c r="H9" s="153">
        <f>IF(SHOWTYP="Power shower",2,IF(SHOWTYP="Ordinary shower",1))</f>
        <v>1</v>
      </c>
      <c r="I9" s="243" t="s">
        <v>1196</v>
      </c>
    </row>
    <row r="10" spans="1:19" ht="28.5" customHeight="1" x14ac:dyDescent="0.25">
      <c r="A10" s="138"/>
      <c r="B10" s="252" t="s">
        <v>1470</v>
      </c>
      <c r="C10" s="138"/>
      <c r="D10" s="143"/>
      <c r="F10" s="240"/>
    </row>
    <row r="11" spans="1:19" ht="28.5" customHeight="1" x14ac:dyDescent="0.25">
      <c r="A11" s="138"/>
      <c r="B11" s="176">
        <v>7</v>
      </c>
      <c r="C11" s="254" t="s">
        <v>1350</v>
      </c>
      <c r="F11" s="240"/>
    </row>
    <row r="12" spans="1:19" ht="28.5" customHeight="1" x14ac:dyDescent="0.35">
      <c r="A12" s="138"/>
      <c r="B12" s="250" t="s">
        <v>1468</v>
      </c>
      <c r="C12" s="138"/>
      <c r="F12" s="240"/>
      <c r="G12" s="140" t="s">
        <v>687</v>
      </c>
      <c r="J12" s="140" t="s">
        <v>388</v>
      </c>
    </row>
    <row r="13" spans="1:19" ht="28.5" customHeight="1" x14ac:dyDescent="0.25">
      <c r="A13" s="138"/>
      <c r="B13" s="252" t="s">
        <v>1472</v>
      </c>
      <c r="C13" s="138"/>
      <c r="F13" s="240"/>
      <c r="G13" s="140" t="s">
        <v>688</v>
      </c>
      <c r="J13" s="140" t="s">
        <v>389</v>
      </c>
    </row>
    <row r="14" spans="1:19" ht="28.5" customHeight="1" x14ac:dyDescent="0.25">
      <c r="A14" s="138"/>
      <c r="B14" s="227" t="s">
        <v>389</v>
      </c>
      <c r="C14" s="138"/>
      <c r="F14" s="240"/>
    </row>
    <row r="15" spans="1:19" x14ac:dyDescent="0.25">
      <c r="A15" s="138"/>
      <c r="B15" s="138"/>
      <c r="C15" s="138"/>
      <c r="F15" s="240"/>
    </row>
    <row r="16" spans="1:19" x14ac:dyDescent="0.25">
      <c r="A16" s="143"/>
      <c r="G16" s="255" t="s">
        <v>694</v>
      </c>
      <c r="H16" s="153">
        <f>IF(swh="Yes",0.25,IF(swh="No",0))</f>
        <v>0</v>
      </c>
    </row>
  </sheetData>
  <dataValidations count="2">
    <dataValidation type="list" allowBlank="1" showInputMessage="1" showErrorMessage="1" sqref="B5">
      <formula1>SHOWER</formula1>
    </dataValidation>
    <dataValidation type="list" allowBlank="1" showInputMessage="1" showErrorMessage="1" sqref="B14">
      <formula1>YES</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40"/>
  <sheetViews>
    <sheetView showGridLines="0" showRowColHeaders="0" zoomScale="120" zoomScaleNormal="120" workbookViewId="0"/>
  </sheetViews>
  <sheetFormatPr defaultRowHeight="15" x14ac:dyDescent="0.25"/>
  <cols>
    <col min="1" max="1" width="44.28515625" style="143" customWidth="1"/>
    <col min="2" max="2" width="22" style="140" customWidth="1"/>
    <col min="3" max="3" width="23.140625" style="140" customWidth="1"/>
    <col min="4" max="4" width="31" style="140" customWidth="1"/>
    <col min="5" max="5" width="9.140625" style="140"/>
    <col min="6" max="6" width="10.7109375" style="140" customWidth="1"/>
    <col min="7" max="7" width="9.140625" style="140"/>
    <col min="8" max="8" width="75" style="140" customWidth="1"/>
    <col min="9" max="9" width="10.7109375" style="140" bestFit="1" customWidth="1"/>
    <col min="10" max="16384" width="9.140625" style="140"/>
  </cols>
  <sheetData>
    <row r="1" spans="1:16" ht="33" customHeight="1" x14ac:dyDescent="0.5">
      <c r="A1" s="228" t="s">
        <v>1474</v>
      </c>
      <c r="B1" s="174">
        <f>APPERHH/2.3*EXP(0.15*OCCNORM)</f>
        <v>0.72608695652173927</v>
      </c>
      <c r="C1" s="138"/>
      <c r="D1" s="138"/>
      <c r="E1" s="138"/>
      <c r="F1" s="138"/>
      <c r="G1" s="138"/>
      <c r="H1" s="138"/>
    </row>
    <row r="2" spans="1:16" ht="15.75" x14ac:dyDescent="0.25">
      <c r="A2" s="138"/>
      <c r="B2" s="249" t="s">
        <v>1306</v>
      </c>
      <c r="C2" s="138"/>
      <c r="D2" s="138"/>
      <c r="E2" s="138"/>
      <c r="F2" s="138"/>
      <c r="G2" s="138"/>
      <c r="H2" s="138"/>
    </row>
    <row r="3" spans="1:16" ht="28.5" customHeight="1" x14ac:dyDescent="0.35">
      <c r="A3" s="138"/>
      <c r="B3" s="239" t="s">
        <v>1475</v>
      </c>
      <c r="C3" s="138"/>
      <c r="D3" s="239" t="s">
        <v>1479</v>
      </c>
      <c r="E3" s="138"/>
      <c r="F3" s="138"/>
      <c r="G3" s="138"/>
      <c r="H3" s="138"/>
      <c r="I3" s="121">
        <f>(((APPSIZE+clodry)*effval*GELVAL*SWOFFVAL)-PVVAL)/1000</f>
        <v>1.6700000000000002</v>
      </c>
      <c r="M3" s="149">
        <f>APPERCAP+SHPERCAP+WHPERCAP</f>
        <v>2.4424325217391312</v>
      </c>
      <c r="O3" s="152" t="s">
        <v>728</v>
      </c>
      <c r="P3" s="152"/>
    </row>
    <row r="4" spans="1:16" ht="28.5" customHeight="1" x14ac:dyDescent="0.25">
      <c r="A4" s="138"/>
      <c r="B4" s="138"/>
      <c r="C4" s="138"/>
      <c r="D4" s="252"/>
      <c r="E4" s="138"/>
      <c r="F4" s="138"/>
      <c r="G4" s="138"/>
      <c r="H4" s="138"/>
      <c r="I4" s="74" t="s">
        <v>726</v>
      </c>
      <c r="J4" s="74"/>
      <c r="K4" s="74" t="s">
        <v>727</v>
      </c>
      <c r="M4" s="140" t="s">
        <v>1024</v>
      </c>
      <c r="O4" s="152" t="s">
        <v>729</v>
      </c>
      <c r="P4" s="256">
        <f>800+TFA*10</f>
        <v>1670.0000000000002</v>
      </c>
    </row>
    <row r="5" spans="1:16" ht="28.5" customHeight="1" x14ac:dyDescent="0.25">
      <c r="A5" s="138"/>
      <c r="B5" s="227" t="s">
        <v>708</v>
      </c>
      <c r="C5" s="138"/>
      <c r="D5" s="227" t="s">
        <v>1353</v>
      </c>
      <c r="E5" s="138"/>
      <c r="F5" s="138"/>
      <c r="G5" s="138"/>
      <c r="H5" s="138"/>
    </row>
    <row r="6" spans="1:16" ht="28.5" customHeight="1" x14ac:dyDescent="0.35">
      <c r="A6" s="138"/>
      <c r="B6" s="239" t="s">
        <v>1478</v>
      </c>
      <c r="C6" s="138"/>
      <c r="D6" s="239" t="s">
        <v>1476</v>
      </c>
      <c r="E6" s="138"/>
      <c r="F6" s="138"/>
      <c r="G6" s="138"/>
      <c r="H6" s="138"/>
      <c r="I6" s="140" t="s">
        <v>701</v>
      </c>
      <c r="K6" s="140">
        <v>1.66</v>
      </c>
      <c r="L6" s="140" t="s">
        <v>703</v>
      </c>
    </row>
    <row r="7" spans="1:16" ht="28.5" customHeight="1" x14ac:dyDescent="0.25">
      <c r="A7" s="138"/>
      <c r="B7" s="252" t="s">
        <v>1489</v>
      </c>
      <c r="C7" s="138"/>
      <c r="D7" s="252" t="s">
        <v>1488</v>
      </c>
      <c r="E7" s="138"/>
      <c r="F7" s="138"/>
      <c r="G7" s="138"/>
      <c r="H7" s="138"/>
      <c r="I7" s="140" t="s">
        <v>702</v>
      </c>
      <c r="K7" s="140">
        <v>0.72</v>
      </c>
      <c r="L7" s="140" t="s">
        <v>704</v>
      </c>
    </row>
    <row r="8" spans="1:16" ht="28.5" customHeight="1" x14ac:dyDescent="0.25">
      <c r="A8" s="138"/>
      <c r="B8" s="227" t="s">
        <v>718</v>
      </c>
      <c r="C8" s="138"/>
      <c r="D8" s="227" t="s">
        <v>389</v>
      </c>
      <c r="E8" s="138"/>
      <c r="F8" s="138"/>
      <c r="G8" s="138"/>
      <c r="H8" s="138"/>
    </row>
    <row r="9" spans="1:16" ht="28.5" customHeight="1" x14ac:dyDescent="0.35">
      <c r="A9" s="138"/>
      <c r="B9" s="239" t="s">
        <v>1477</v>
      </c>
      <c r="C9" s="138"/>
      <c r="D9" s="138"/>
      <c r="E9" s="138"/>
      <c r="F9" s="138"/>
      <c r="G9" s="138"/>
      <c r="H9" s="138"/>
      <c r="J9" s="152" t="s">
        <v>711</v>
      </c>
      <c r="K9" s="153">
        <f>IF(DRY="Washing Line or rack",-150,0)</f>
        <v>0</v>
      </c>
    </row>
    <row r="10" spans="1:16" ht="28.5" customHeight="1" x14ac:dyDescent="0.25">
      <c r="A10" s="138"/>
      <c r="B10" s="252" t="s">
        <v>1490</v>
      </c>
      <c r="C10" s="138"/>
      <c r="D10" s="138"/>
      <c r="E10" s="138"/>
      <c r="F10" s="138"/>
      <c r="G10" s="138"/>
      <c r="H10" s="138"/>
      <c r="I10" s="257"/>
      <c r="J10" s="152" t="s">
        <v>721</v>
      </c>
      <c r="K10" s="153">
        <f>IF(EFF="Best rating for all",0.7,IF(EFF="High rating for some", 1,IF(EFF="Low or medium ratings", 1.1)))</f>
        <v>1</v>
      </c>
    </row>
    <row r="11" spans="1:16" ht="28.5" customHeight="1" x14ac:dyDescent="0.25">
      <c r="A11" s="138"/>
      <c r="B11" s="227" t="s">
        <v>389</v>
      </c>
      <c r="C11" s="138"/>
      <c r="D11" s="138"/>
      <c r="E11" s="138"/>
      <c r="F11" s="138"/>
      <c r="G11" s="138"/>
      <c r="H11" s="138"/>
      <c r="J11" s="152" t="s">
        <v>723</v>
      </c>
      <c r="K11" s="153">
        <f>IF(GEL="Yes",0.75,1)</f>
        <v>1</v>
      </c>
    </row>
    <row r="12" spans="1:16" x14ac:dyDescent="0.25">
      <c r="A12" s="138"/>
      <c r="B12" s="138"/>
      <c r="C12" s="138"/>
      <c r="D12" s="138"/>
      <c r="E12" s="138"/>
      <c r="F12" s="138"/>
      <c r="G12" s="138"/>
      <c r="H12" s="138"/>
      <c r="J12" s="152" t="s">
        <v>725</v>
      </c>
      <c r="K12" s="153">
        <f>IF(PV="Yes",520,IF(PV="Large installation",830,0))</f>
        <v>0</v>
      </c>
    </row>
    <row r="13" spans="1:16" x14ac:dyDescent="0.25">
      <c r="A13" s="138"/>
      <c r="B13" s="138"/>
      <c r="C13" s="138"/>
      <c r="D13" s="138"/>
      <c r="E13" s="138"/>
      <c r="F13" s="138"/>
      <c r="G13" s="138"/>
      <c r="H13" s="138"/>
      <c r="J13" s="152" t="s">
        <v>1355</v>
      </c>
      <c r="K13" s="153">
        <f>IF(SWOFF="Always turn off when not in use",0.95,IF(SWOFF="Never bother",1.1,1))</f>
        <v>1</v>
      </c>
    </row>
    <row r="14" spans="1:16" x14ac:dyDescent="0.25">
      <c r="A14" s="138"/>
      <c r="B14" s="138"/>
      <c r="C14" s="138"/>
      <c r="D14" s="138"/>
      <c r="E14" s="138"/>
      <c r="F14" s="138"/>
      <c r="G14" s="138"/>
      <c r="H14" s="138"/>
    </row>
    <row r="15" spans="1:16" x14ac:dyDescent="0.25">
      <c r="A15" s="138"/>
      <c r="B15" s="138"/>
      <c r="C15" s="138"/>
      <c r="D15" s="138"/>
      <c r="E15" s="138"/>
      <c r="F15" s="138"/>
      <c r="G15" s="138"/>
      <c r="H15" s="138"/>
    </row>
    <row r="16" spans="1:16" x14ac:dyDescent="0.25">
      <c r="A16" s="138"/>
      <c r="B16" s="138"/>
      <c r="C16" s="138"/>
      <c r="D16" s="138"/>
      <c r="E16" s="138"/>
      <c r="F16" s="138"/>
      <c r="G16" s="138"/>
      <c r="H16" s="138"/>
    </row>
    <row r="17" spans="1:9" x14ac:dyDescent="0.25">
      <c r="A17" s="138"/>
      <c r="B17" s="138"/>
      <c r="C17" s="138"/>
      <c r="D17" s="138"/>
      <c r="E17" s="138"/>
      <c r="F17" s="138"/>
      <c r="G17" s="138"/>
      <c r="H17" s="138"/>
      <c r="I17" s="143" t="s">
        <v>1352</v>
      </c>
    </row>
    <row r="18" spans="1:9" x14ac:dyDescent="0.25">
      <c r="A18" s="138"/>
      <c r="B18" s="138"/>
      <c r="C18" s="138"/>
      <c r="D18" s="138"/>
      <c r="E18" s="138"/>
      <c r="F18" s="138"/>
      <c r="G18" s="138"/>
      <c r="H18" s="138"/>
    </row>
    <row r="19" spans="1:9" ht="15.75" customHeight="1" x14ac:dyDescent="0.25">
      <c r="I19" s="143" t="s">
        <v>1353</v>
      </c>
    </row>
    <row r="20" spans="1:9" x14ac:dyDescent="0.25">
      <c r="I20" s="143" t="s">
        <v>1354</v>
      </c>
    </row>
    <row r="22" spans="1:9" x14ac:dyDescent="0.25">
      <c r="C22" s="140">
        <f>76/0.15</f>
        <v>506.66666666666669</v>
      </c>
    </row>
    <row r="23" spans="1:9" x14ac:dyDescent="0.25">
      <c r="C23" s="140">
        <f>C22*0.54</f>
        <v>273.60000000000002</v>
      </c>
      <c r="D23" s="140">
        <v>275</v>
      </c>
      <c r="E23" s="140" t="s">
        <v>1356</v>
      </c>
    </row>
    <row r="25" spans="1:9" x14ac:dyDescent="0.25">
      <c r="F25" s="111"/>
    </row>
    <row r="35" spans="2:6" x14ac:dyDescent="0.25">
      <c r="F35" s="111" t="s">
        <v>1160</v>
      </c>
    </row>
    <row r="38" spans="2:6" x14ac:dyDescent="0.25">
      <c r="E38" s="140" t="s">
        <v>389</v>
      </c>
    </row>
    <row r="39" spans="2:6" x14ac:dyDescent="0.25">
      <c r="B39" s="143"/>
      <c r="C39" s="143"/>
      <c r="D39" s="143"/>
    </row>
    <row r="40" spans="2:6" x14ac:dyDescent="0.25">
      <c r="B40" s="143"/>
      <c r="C40" s="143"/>
      <c r="D40" s="143"/>
    </row>
  </sheetData>
  <dataConsolidate/>
  <dataValidations count="4">
    <dataValidation type="list" allowBlank="1" showInputMessage="1" showErrorMessage="1" sqref="I10">
      <formula1>TVSORT</formula1>
    </dataValidation>
    <dataValidation type="list" allowBlank="1" showInputMessage="1" showErrorMessage="1" sqref="B5">
      <formula1>TUMBLE</formula1>
    </dataValidation>
    <dataValidation type="list" allowBlank="1" showInputMessage="1" showErrorMessage="1" sqref="D8">
      <formula1>YES</formula1>
    </dataValidation>
    <dataValidation type="list" allowBlank="1" showInputMessage="1" showErrorMessage="1" sqref="B8">
      <formula1>RATING</formula1>
    </dataValidation>
  </dataValidations>
  <pageMargins left="0.7" right="0.7" top="0.75" bottom="0.75" header="0.3" footer="0.3"/>
  <pageSetup paperSize="9" orientation="portrait" horizontalDpi="4294967293" vertic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'NAMES &amp; VALUES'!$K$4:$K$6</xm:f>
          </x14:formula1>
          <xm:sqref>B11</xm:sqref>
        </x14:dataValidation>
        <x14:dataValidation type="list" allowBlank="1" showInputMessage="1" showErrorMessage="1">
          <x14:formula1>
            <xm:f>'NAMES &amp; VALUES'!$O$38:$O$40</xm:f>
          </x14:formula1>
          <xm:sqref>D5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C40"/>
  <sheetViews>
    <sheetView showGridLines="0" showRowColHeaders="0" topLeftCell="A7" zoomScale="120" zoomScaleNormal="120" workbookViewId="0"/>
  </sheetViews>
  <sheetFormatPr defaultRowHeight="15" x14ac:dyDescent="0.25"/>
  <cols>
    <col min="1" max="1" width="44.28515625" style="140" customWidth="1"/>
    <col min="2" max="2" width="26.140625" style="140" customWidth="1"/>
    <col min="3" max="3" width="18.42578125" style="140" customWidth="1"/>
    <col min="4" max="4" width="20.42578125" style="140" bestFit="1" customWidth="1"/>
    <col min="5" max="5" width="20.7109375" style="140" bestFit="1" customWidth="1"/>
    <col min="6" max="6" width="10.7109375" style="140" customWidth="1"/>
    <col min="7" max="7" width="11.42578125" style="140" customWidth="1"/>
    <col min="8" max="8" width="11.28515625" style="140" customWidth="1"/>
    <col min="9" max="9" width="81.42578125" style="240" customWidth="1"/>
    <col min="10" max="11" width="9.140625" style="140"/>
    <col min="12" max="12" width="10.42578125" style="140" customWidth="1"/>
    <col min="13" max="13" width="9.85546875" style="140" customWidth="1"/>
    <col min="14" max="19" width="9.140625" style="140"/>
    <col min="20" max="20" width="13.42578125" style="140" customWidth="1"/>
    <col min="21" max="16384" width="9.140625" style="140"/>
  </cols>
  <sheetData>
    <row r="1" spans="1:25" ht="33.75" x14ac:dyDescent="0.5">
      <c r="A1" s="228" t="s">
        <v>737</v>
      </c>
      <c r="B1" s="174">
        <f>TRAV*BIKEM</f>
        <v>2.4538434782608696</v>
      </c>
      <c r="C1" s="138"/>
      <c r="D1" s="138"/>
      <c r="E1" s="138"/>
      <c r="F1" s="138"/>
      <c r="G1" s="138"/>
    </row>
    <row r="2" spans="1:25" ht="21" x14ac:dyDescent="0.35">
      <c r="A2" s="138"/>
      <c r="B2" s="238" t="s">
        <v>1306</v>
      </c>
      <c r="C2" s="138"/>
      <c r="D2" s="138"/>
      <c r="E2" s="138"/>
      <c r="F2" s="141"/>
      <c r="G2" s="177"/>
      <c r="H2" s="143"/>
      <c r="I2" s="251" t="s">
        <v>1292</v>
      </c>
      <c r="L2" s="148" t="s">
        <v>1080</v>
      </c>
      <c r="M2" s="98">
        <f>PANDM2</f>
        <v>0.30897391304347827</v>
      </c>
      <c r="N2" s="74" t="s">
        <v>445</v>
      </c>
      <c r="P2" s="74" t="s">
        <v>643</v>
      </c>
      <c r="R2" s="74" t="s">
        <v>749</v>
      </c>
    </row>
    <row r="3" spans="1:25" ht="19.5" customHeight="1" x14ac:dyDescent="0.3">
      <c r="A3" s="138"/>
      <c r="B3" s="258" t="s">
        <v>1480</v>
      </c>
      <c r="C3" s="138"/>
      <c r="D3" s="138"/>
      <c r="E3" s="138"/>
      <c r="F3" s="138"/>
      <c r="G3" s="138"/>
      <c r="H3" s="143"/>
      <c r="I3" s="259" t="s">
        <v>1293</v>
      </c>
      <c r="L3" s="148" t="s">
        <v>1081</v>
      </c>
      <c r="M3" s="101">
        <f>PUBT2</f>
        <v>0.6</v>
      </c>
      <c r="N3" s="74" t="s">
        <v>446</v>
      </c>
      <c r="P3" s="260">
        <f>TRAFUEL2+PANDM2+PUBT2</f>
        <v>2.4538434782608696</v>
      </c>
    </row>
    <row r="4" spans="1:25" ht="19.5" customHeight="1" thickBot="1" x14ac:dyDescent="0.3">
      <c r="A4" s="138"/>
      <c r="B4" s="252" t="s">
        <v>1481</v>
      </c>
      <c r="C4" s="138"/>
      <c r="D4" s="138"/>
      <c r="E4" s="138"/>
      <c r="F4" s="138"/>
      <c r="G4" s="138"/>
      <c r="H4" s="143"/>
      <c r="I4" s="240" t="s">
        <v>1297</v>
      </c>
      <c r="T4" s="261"/>
      <c r="U4" s="261"/>
      <c r="V4" s="261"/>
    </row>
    <row r="5" spans="1:25" ht="19.5" customHeight="1" thickBot="1" x14ac:dyDescent="0.3">
      <c r="A5" s="138"/>
      <c r="B5" s="252" t="s">
        <v>1482</v>
      </c>
      <c r="C5" s="138"/>
      <c r="D5" s="138"/>
      <c r="E5" s="138"/>
      <c r="F5" s="138"/>
      <c r="G5" s="138"/>
      <c r="H5" s="143"/>
      <c r="I5" s="240" t="s">
        <v>1308</v>
      </c>
      <c r="L5" s="262">
        <v>1.43</v>
      </c>
      <c r="M5" s="140" t="s">
        <v>739</v>
      </c>
      <c r="P5" s="74" t="s">
        <v>441</v>
      </c>
      <c r="Q5" s="153">
        <v>9000</v>
      </c>
    </row>
    <row r="6" spans="1:25" ht="19.5" customHeight="1" thickBot="1" x14ac:dyDescent="0.3">
      <c r="A6" s="138"/>
      <c r="B6" s="138"/>
      <c r="C6" s="263" t="s">
        <v>394</v>
      </c>
      <c r="D6" s="263" t="s">
        <v>396</v>
      </c>
      <c r="E6" s="263" t="s">
        <v>395</v>
      </c>
      <c r="F6" s="130" t="s">
        <v>1510</v>
      </c>
      <c r="G6" s="138"/>
      <c r="H6" s="143"/>
      <c r="L6" s="264">
        <v>0.72</v>
      </c>
      <c r="O6" s="140" t="s">
        <v>377</v>
      </c>
      <c r="V6" s="140">
        <f>EXP(0.15)</f>
        <v>1.1618342427282831</v>
      </c>
      <c r="X6" s="140">
        <f>20*EXP(0.15)</f>
        <v>23.236684854565659</v>
      </c>
    </row>
    <row r="7" spans="1:25" ht="19.5" customHeight="1" thickTop="1" thickBot="1" x14ac:dyDescent="0.3">
      <c r="A7" s="138"/>
      <c r="B7" s="265" t="s">
        <v>1483</v>
      </c>
      <c r="C7" s="217" t="s">
        <v>398</v>
      </c>
      <c r="D7" s="217" t="s">
        <v>400</v>
      </c>
      <c r="E7" s="217" t="s">
        <v>137</v>
      </c>
      <c r="F7" s="138"/>
      <c r="G7" s="138"/>
      <c r="H7" s="143"/>
      <c r="L7" s="264">
        <v>0.43</v>
      </c>
      <c r="O7" s="140" t="s">
        <v>376</v>
      </c>
      <c r="Y7" s="140" t="s">
        <v>351</v>
      </c>
    </row>
    <row r="8" spans="1:25" ht="19.5" customHeight="1" thickTop="1" thickBot="1" x14ac:dyDescent="0.3">
      <c r="A8" s="138"/>
      <c r="B8" s="265" t="s">
        <v>1484</v>
      </c>
      <c r="C8" s="217" t="s">
        <v>423</v>
      </c>
      <c r="D8" s="217" t="s">
        <v>400</v>
      </c>
      <c r="E8" s="217" t="s">
        <v>137</v>
      </c>
      <c r="F8" s="138"/>
      <c r="G8" s="138"/>
      <c r="H8" s="143"/>
      <c r="O8" s="140" t="s">
        <v>412</v>
      </c>
    </row>
    <row r="9" spans="1:25" ht="19.5" customHeight="1" thickTop="1" thickBot="1" x14ac:dyDescent="0.35">
      <c r="A9" s="138"/>
      <c r="B9" s="265" t="s">
        <v>1485</v>
      </c>
      <c r="C9" s="217" t="s">
        <v>423</v>
      </c>
      <c r="D9" s="217" t="s">
        <v>400</v>
      </c>
      <c r="E9" s="217" t="s">
        <v>403</v>
      </c>
      <c r="F9" s="131"/>
      <c r="G9" s="131"/>
      <c r="H9" s="143"/>
      <c r="N9" s="140" t="s">
        <v>433</v>
      </c>
      <c r="O9" s="140" t="s">
        <v>434</v>
      </c>
      <c r="P9" s="140" t="s">
        <v>435</v>
      </c>
      <c r="Q9" s="140" t="s">
        <v>436</v>
      </c>
      <c r="R9" s="140" t="s">
        <v>442</v>
      </c>
      <c r="S9" s="140" t="s">
        <v>443</v>
      </c>
    </row>
    <row r="10" spans="1:25" ht="19.5" customHeight="1" thickTop="1" thickBot="1" x14ac:dyDescent="0.3">
      <c r="A10" s="138"/>
      <c r="B10" s="265" t="s">
        <v>404</v>
      </c>
      <c r="C10" s="217" t="s">
        <v>423</v>
      </c>
      <c r="D10" s="217" t="s">
        <v>400</v>
      </c>
      <c r="E10" s="217" t="s">
        <v>403</v>
      </c>
      <c r="F10" s="138"/>
      <c r="G10" s="138"/>
      <c r="H10" s="143"/>
      <c r="I10" s="119" t="s">
        <v>1295</v>
      </c>
      <c r="N10" s="140">
        <f>IF(SIZE1="Large",1.48,IF(SIZE1="Medium",1,IF(SIZE1="Small",0.81,IF(SIZE1="Motorbike",0.61, IF(SIZE1="None",0)))))</f>
        <v>1</v>
      </c>
      <c r="O10" s="140">
        <f>IF(TYPE1="Petrol",1.05,IF(TYPE1="Diesel",0.95,IF(TYPE1="Hybrid or electric",0.6,IF(TYPE1="Any other",0.9))))</f>
        <v>1.05</v>
      </c>
      <c r="P10" s="140">
        <f>IF(MILES1="Average",AVMILES,IF(MILES1="A bit more",11250,IF(MILES1="Much more",18000,IF(MILES1="A bit less",6750,IF(MILES1="Much less",2250)))))</f>
        <v>9000</v>
      </c>
      <c r="Q10" s="266">
        <f>((S1COEFF*TCOEFF1*MCOEFF1*AVEMFACTOR)/AVHH)/1000</f>
        <v>1.5448695652173912</v>
      </c>
      <c r="R10" s="266">
        <f>V1EM*EXP(0.25*OCCNORM)</f>
        <v>1.5448695652173912</v>
      </c>
      <c r="S10" s="149">
        <f>V1EM*0.2*EXP(0.3*OCCNORM)</f>
        <v>0.30897391304347827</v>
      </c>
      <c r="T10" s="140">
        <f>IF(SIZE1="None",0.3,0)</f>
        <v>0</v>
      </c>
    </row>
    <row r="11" spans="1:25" ht="19.5" customHeight="1" thickTop="1" thickBot="1" x14ac:dyDescent="0.3">
      <c r="A11" s="138"/>
      <c r="B11" s="265" t="s">
        <v>418</v>
      </c>
      <c r="C11" s="217" t="s">
        <v>423</v>
      </c>
      <c r="D11" s="217" t="s">
        <v>400</v>
      </c>
      <c r="E11" s="217" t="s">
        <v>348</v>
      </c>
      <c r="F11" s="138"/>
      <c r="G11" s="138"/>
      <c r="H11" s="143"/>
      <c r="I11" s="119" t="s">
        <v>1296</v>
      </c>
      <c r="N11" s="140">
        <f>IF(SIZE2="Large",1.48,IF(SIZE2="Medium",1,IF(SIZE2="Small",0.81,IF(SIZE2="Motorbike",0.61,IF(SIZE2="None",0)))))</f>
        <v>0</v>
      </c>
      <c r="O11" s="140">
        <f>IF(TYPE2="Petrol",1.05,IF(TYPE2="Diesel",0.95,IF(TYPE2="Hybrid or electric",0.6,IF(TYPE2="Any other",0.9))))</f>
        <v>1.05</v>
      </c>
      <c r="P11" s="140">
        <f>IF(MILES2="Average",AVMILES,IF(MILES2="A bit more",AVMILES*1.25,IF(MILES2="Much more",AVMILES*2,IF(MILES2="A bit less",AVMILES*0.75,IF(MILES2="Much less",AVMILES*0.25)))))</f>
        <v>9000</v>
      </c>
      <c r="Q11" s="266">
        <f>((S2COEFF*TCOEFF2*MCOEFF2*AVEMFACTOR)/AVHH)/1000</f>
        <v>0</v>
      </c>
      <c r="R11" s="266">
        <f>V2EM*EXP(0.15*OCCNORM)</f>
        <v>0</v>
      </c>
      <c r="S11" s="149">
        <f>V2EM*0.2*EXP(0.2*OCCNORM)</f>
        <v>0</v>
      </c>
      <c r="T11" s="140">
        <f>IF(SIZE2="None",0,-0.2)</f>
        <v>0</v>
      </c>
    </row>
    <row r="12" spans="1:25" ht="19.5" customHeight="1" thickTop="1" x14ac:dyDescent="0.35">
      <c r="A12" s="138"/>
      <c r="B12" s="267" t="s">
        <v>1491</v>
      </c>
      <c r="C12" s="138"/>
      <c r="D12" s="138"/>
      <c r="E12" s="178"/>
      <c r="F12" s="138"/>
      <c r="G12" s="138"/>
      <c r="H12" s="143"/>
      <c r="N12" s="140">
        <f>IF(SIZE3="Large",1.48,IF(SIZE3="Medium",1,IF(SIZE3="Small",0.81,IF(SIZE3="Motorbike",0.61,IF(SIZE3="None",0)))))</f>
        <v>0</v>
      </c>
      <c r="O12" s="140">
        <f>IF(TYPE3="Petrol",1.05,IF(TYPE3="Diesel",0.95,IF(TYPE3="Hybrid or electric",0.6,IF(TYPE3="Any other",0.9))))</f>
        <v>1.05</v>
      </c>
      <c r="P12" s="140">
        <f>IF(MILES3="Average",AVMILES,IF(MILES3="A bit more",AVMILES*1.25,IF(MILES3="Much more",AVMILES*2,IF(MILES3="A bit less",AVMILES*0.75,IF(MILES3="Much less",AVMILES*0.25)))))</f>
        <v>6750</v>
      </c>
      <c r="Q12" s="266">
        <f>((S3COEFF*TCOEFF3*MCOEFF3*AVEMFACTOR)/AVHH)/1000</f>
        <v>0</v>
      </c>
      <c r="R12" s="266">
        <f>V3EM*EXP(0.15*OCCNORM)</f>
        <v>0</v>
      </c>
      <c r="S12" s="149">
        <f>V3EM*0.2*EXP(0.15*OCCNORM)</f>
        <v>0</v>
      </c>
      <c r="T12" s="140">
        <f>IF(SIZE3="None",0,-0.1)</f>
        <v>0</v>
      </c>
      <c r="V12" s="140" t="s">
        <v>447</v>
      </c>
      <c r="W12" s="140">
        <f>PUBT2</f>
        <v>0.6</v>
      </c>
    </row>
    <row r="13" spans="1:25" ht="19.5" customHeight="1" x14ac:dyDescent="0.3">
      <c r="A13" s="138"/>
      <c r="B13" s="179"/>
      <c r="C13" s="138"/>
      <c r="D13" s="138"/>
      <c r="E13" s="178"/>
      <c r="F13" s="138"/>
      <c r="G13" s="138"/>
      <c r="H13" s="143"/>
      <c r="I13" s="240" t="s">
        <v>1073</v>
      </c>
      <c r="N13" s="140">
        <f>IF(SIZECC="Large",1.48,IF(SIZECC="Medium",1,IF(SIZECC="Small",0.81,IF(SIZECC="Motorbike",0.61,IF(SIZECC="none",0)))))</f>
        <v>0</v>
      </c>
      <c r="O13" s="140">
        <f>IF(TYPECC="Petrol",1.05,IF(TYPECC="Diesel",0.95,IF(TYPECC="Hybrid or electric",0.6,IF(TYPECC="Any other",0.9))))</f>
        <v>1.05</v>
      </c>
      <c r="P13" s="140">
        <f>IF(MILESCC="Average",AVMILES,IF(MILESCC="A bit more",AVMILES+1.25,IF(MILESCC="Much more",AVMILES*2,IF(MILESCC="A bit less",AVMILES*0.75,IF(MILESCC="Much less",AVMILES*0.25)))))</f>
        <v>6750</v>
      </c>
      <c r="Q13" s="266">
        <f>((SCCCOEFF*TCCCOEFF*MCC*AVEMFACTOR)/AVHH)/1000</f>
        <v>0</v>
      </c>
      <c r="R13" s="266">
        <f>CCEM*EXP(0.15*OCCNORM)</f>
        <v>0</v>
      </c>
      <c r="S13" s="149">
        <f>CCEM*0.2*EXP(0.2*OCCNORM)</f>
        <v>0</v>
      </c>
      <c r="T13" s="140">
        <f>IF(SIZECC="None",0,-0.1)</f>
        <v>0</v>
      </c>
      <c r="V13" s="140" t="s">
        <v>448</v>
      </c>
      <c r="W13" s="140">
        <f>PANDM2</f>
        <v>0.30897391304347827</v>
      </c>
    </row>
    <row r="14" spans="1:25" ht="19.5" customHeight="1" x14ac:dyDescent="0.3">
      <c r="A14" s="138"/>
      <c r="B14" s="227" t="s">
        <v>1178</v>
      </c>
      <c r="C14" s="219"/>
      <c r="D14" s="178"/>
      <c r="E14" s="138"/>
      <c r="F14" s="138"/>
      <c r="G14" s="138"/>
      <c r="H14" s="143"/>
      <c r="I14" s="246" t="s">
        <v>1294</v>
      </c>
      <c r="N14" s="140">
        <f>IF(SIZELIFT="Large",1.48,IF(SIZELIFT="Medium",1,IF(SIZELIFT="Small",0.81,IF(SIZELIFT="Motorbike",0.61,IF(SIZELIFT="None",0)))))</f>
        <v>0</v>
      </c>
      <c r="O14" s="140">
        <f>IF(TYPELIFT="Petrol",1.05,IF(TYPELIFT="Diesel",0.95,IF(TYPEIFT="Hybrid or electric",0.6,IF(TYPELIFT="Any other",0.9))))</f>
        <v>1.05</v>
      </c>
      <c r="P14" s="140">
        <f>IF(MILESLIFT="Average",9000,IF(MILESLIFT="A bit more",AVMILES*1.25,IF(MILESLIFT="Much more",AVMILES*2,IF(MILESLIFT="A bit less",AVMILES*0.75,IF(MILESLIFT="Much less",AVMILES*0.25)))))</f>
        <v>2250</v>
      </c>
      <c r="Q14" s="266">
        <f>((SLIFTCOEFF*TLIFTCOEFF*MLIFT*AVEMFACTOR)/AVHH)/1000</f>
        <v>0</v>
      </c>
      <c r="R14" s="266">
        <f>LIFTEM*EXP(0.4*OCCNORM)</f>
        <v>0</v>
      </c>
      <c r="S14" s="149">
        <f>LIFTEM*0.2*EXP(0.5*OCCNORM)</f>
        <v>0</v>
      </c>
      <c r="V14" s="140" t="s">
        <v>449</v>
      </c>
      <c r="W14" s="140">
        <f>TRAFUEL2</f>
        <v>1.5448695652173912</v>
      </c>
    </row>
    <row r="15" spans="1:25" ht="19.5" customHeight="1" x14ac:dyDescent="0.35">
      <c r="A15" s="138"/>
      <c r="B15" s="267" t="s">
        <v>1423</v>
      </c>
      <c r="C15" s="138"/>
      <c r="D15" s="138"/>
      <c r="E15" s="138"/>
      <c r="F15" s="138"/>
      <c r="G15" s="138"/>
      <c r="H15" s="143"/>
      <c r="R15" s="253">
        <f>SUM(R10:R14)</f>
        <v>1.5448695652173912</v>
      </c>
      <c r="S15" s="245">
        <f>SUM(S10:S14)</f>
        <v>0.30897391304347827</v>
      </c>
      <c r="T15" s="153">
        <f>PUBTRHOURS*2*50/1000+LONGHOURS*2/1000</f>
        <v>0.6</v>
      </c>
    </row>
    <row r="16" spans="1:25" ht="19.5" customHeight="1" x14ac:dyDescent="0.25">
      <c r="A16" s="138"/>
      <c r="B16" s="138"/>
      <c r="C16" s="138"/>
      <c r="D16" s="180"/>
      <c r="E16" s="180"/>
      <c r="F16" s="138"/>
      <c r="G16" s="138"/>
      <c r="R16" s="74" t="s">
        <v>444</v>
      </c>
      <c r="S16" s="87" t="s">
        <v>445</v>
      </c>
      <c r="T16" s="74" t="s">
        <v>446</v>
      </c>
    </row>
    <row r="17" spans="1:29" ht="19.5" customHeight="1" x14ac:dyDescent="0.25">
      <c r="A17" s="138"/>
      <c r="B17" s="176">
        <v>5</v>
      </c>
      <c r="C17" s="254" t="s">
        <v>1492</v>
      </c>
      <c r="D17" s="138"/>
      <c r="E17" s="138"/>
      <c r="F17" s="138"/>
      <c r="G17" s="138"/>
      <c r="Q17" s="140" t="s">
        <v>730</v>
      </c>
    </row>
    <row r="18" spans="1:29" ht="19.5" customHeight="1" x14ac:dyDescent="0.35">
      <c r="A18" s="138"/>
      <c r="B18" s="267" t="s">
        <v>1425</v>
      </c>
      <c r="C18" s="138"/>
      <c r="D18" s="138"/>
      <c r="E18" s="138"/>
      <c r="F18" s="130"/>
      <c r="G18" s="138"/>
      <c r="I18" s="240" t="s">
        <v>1427</v>
      </c>
    </row>
    <row r="19" spans="1:29" ht="19.5" customHeight="1" x14ac:dyDescent="0.25">
      <c r="A19" s="138"/>
      <c r="B19" s="138"/>
      <c r="C19" s="138"/>
      <c r="D19" s="138"/>
      <c r="E19" s="138"/>
      <c r="F19" s="138"/>
      <c r="G19" s="138"/>
      <c r="I19" s="240" t="s">
        <v>1426</v>
      </c>
      <c r="O19" s="140" t="s">
        <v>397</v>
      </c>
      <c r="P19" s="140">
        <v>1.48</v>
      </c>
      <c r="Q19" s="140" t="s">
        <v>400</v>
      </c>
      <c r="R19" s="140">
        <v>1.05</v>
      </c>
      <c r="T19" s="140" t="s">
        <v>137</v>
      </c>
      <c r="V19" s="140">
        <v>9000</v>
      </c>
    </row>
    <row r="20" spans="1:29" ht="19.5" customHeight="1" x14ac:dyDescent="0.25">
      <c r="A20" s="138"/>
      <c r="B20" s="176">
        <v>50</v>
      </c>
      <c r="C20" s="254" t="s">
        <v>1492</v>
      </c>
      <c r="D20" s="129"/>
      <c r="E20" s="138"/>
      <c r="F20" s="138"/>
      <c r="G20" s="138"/>
      <c r="O20" s="140" t="s">
        <v>398</v>
      </c>
      <c r="P20" s="140">
        <v>1</v>
      </c>
      <c r="Q20" s="140" t="s">
        <v>401</v>
      </c>
      <c r="R20" s="140">
        <v>0.95</v>
      </c>
      <c r="T20" s="140" t="s">
        <v>402</v>
      </c>
      <c r="V20" s="140">
        <f>V19*1.25</f>
        <v>11250</v>
      </c>
      <c r="W20" s="140" t="s">
        <v>406</v>
      </c>
    </row>
    <row r="21" spans="1:29" x14ac:dyDescent="0.25">
      <c r="A21" s="138"/>
      <c r="B21" s="138"/>
      <c r="C21" s="138"/>
      <c r="D21" s="138"/>
      <c r="E21" s="138"/>
      <c r="F21" s="138" t="s">
        <v>1421</v>
      </c>
      <c r="G21" s="138"/>
      <c r="O21" s="140" t="s">
        <v>399</v>
      </c>
      <c r="P21" s="140">
        <v>0.81</v>
      </c>
      <c r="Q21" s="140" t="s">
        <v>409</v>
      </c>
      <c r="R21" s="140">
        <v>0.7</v>
      </c>
      <c r="T21" s="140" t="s">
        <v>345</v>
      </c>
      <c r="V21" s="140">
        <f>V19*2</f>
        <v>18000</v>
      </c>
      <c r="W21" s="140" t="s">
        <v>419</v>
      </c>
    </row>
    <row r="22" spans="1:29" x14ac:dyDescent="0.25">
      <c r="B22" s="143"/>
      <c r="C22" s="148"/>
      <c r="F22" s="140" t="s">
        <v>1422</v>
      </c>
      <c r="O22" s="140" t="s">
        <v>405</v>
      </c>
      <c r="P22" s="140">
        <v>0.61</v>
      </c>
      <c r="Q22" s="140" t="s">
        <v>410</v>
      </c>
      <c r="R22" s="140">
        <v>0.9</v>
      </c>
      <c r="T22" s="140" t="s">
        <v>403</v>
      </c>
      <c r="V22" s="140">
        <f>V19*0.75</f>
        <v>6750</v>
      </c>
      <c r="W22" s="140" t="s">
        <v>407</v>
      </c>
    </row>
    <row r="23" spans="1:29" x14ac:dyDescent="0.25">
      <c r="A23" s="143"/>
      <c r="D23" s="74" t="s">
        <v>1420</v>
      </c>
      <c r="I23" s="240" t="s">
        <v>1428</v>
      </c>
      <c r="O23" s="140" t="s">
        <v>423</v>
      </c>
      <c r="T23" s="140" t="s">
        <v>348</v>
      </c>
      <c r="V23" s="140">
        <f>V19*0.25</f>
        <v>2250</v>
      </c>
      <c r="W23" s="140" t="s">
        <v>408</v>
      </c>
    </row>
    <row r="24" spans="1:29" x14ac:dyDescent="0.25">
      <c r="C24" s="148"/>
      <c r="E24" s="140" t="s">
        <v>1214</v>
      </c>
      <c r="I24" s="240" t="s">
        <v>1429</v>
      </c>
      <c r="O24" s="140" t="s">
        <v>414</v>
      </c>
      <c r="X24" s="149"/>
    </row>
    <row r="25" spans="1:29" x14ac:dyDescent="0.25">
      <c r="D25" s="74" t="s">
        <v>1424</v>
      </c>
      <c r="O25" s="140" t="s">
        <v>415</v>
      </c>
      <c r="R25" s="140" t="s">
        <v>416</v>
      </c>
      <c r="X25" s="149"/>
      <c r="AB25" s="268"/>
      <c r="AC25" s="268"/>
    </row>
    <row r="26" spans="1:29" x14ac:dyDescent="0.25">
      <c r="N26" s="140" t="s">
        <v>732</v>
      </c>
      <c r="X26" s="149"/>
    </row>
    <row r="27" spans="1:29" x14ac:dyDescent="0.25">
      <c r="M27" s="74" t="s">
        <v>798</v>
      </c>
      <c r="N27" s="269">
        <v>0.376</v>
      </c>
      <c r="O27" s="140" t="s">
        <v>413</v>
      </c>
      <c r="X27" s="149"/>
    </row>
    <row r="28" spans="1:29" x14ac:dyDescent="0.25">
      <c r="N28" s="143" t="s">
        <v>411</v>
      </c>
      <c r="O28" s="140" t="s">
        <v>420</v>
      </c>
      <c r="X28" s="149"/>
    </row>
    <row r="29" spans="1:29" x14ac:dyDescent="0.25">
      <c r="O29" s="140" t="s">
        <v>414</v>
      </c>
      <c r="X29" s="270"/>
      <c r="Y29" s="269"/>
    </row>
    <row r="30" spans="1:29" x14ac:dyDescent="0.25">
      <c r="O30" s="140" t="s">
        <v>731</v>
      </c>
      <c r="R30" s="140" t="s">
        <v>417</v>
      </c>
    </row>
    <row r="31" spans="1:29" x14ac:dyDescent="0.25">
      <c r="A31" s="143"/>
      <c r="B31" s="143"/>
      <c r="C31" s="143"/>
      <c r="D31" s="143"/>
      <c r="E31" s="143"/>
      <c r="F31" s="143"/>
      <c r="G31" s="143"/>
      <c r="H31" s="143"/>
      <c r="J31" s="143"/>
      <c r="K31" s="143"/>
    </row>
    <row r="32" spans="1:29" x14ac:dyDescent="0.25">
      <c r="A32" s="143"/>
      <c r="B32" s="140" t="s">
        <v>1359</v>
      </c>
      <c r="C32" s="143"/>
      <c r="D32" s="147"/>
      <c r="E32" s="147"/>
      <c r="F32" s="143"/>
      <c r="G32" s="271"/>
      <c r="H32" s="143"/>
      <c r="I32" s="272"/>
      <c r="J32" s="271"/>
      <c r="K32" s="143"/>
      <c r="N32" s="140" t="s">
        <v>1074</v>
      </c>
      <c r="Q32" s="86" t="s">
        <v>928</v>
      </c>
      <c r="R32" s="86" t="s">
        <v>968</v>
      </c>
      <c r="S32" s="86" t="s">
        <v>869</v>
      </c>
      <c r="T32" s="273"/>
      <c r="U32" s="273"/>
      <c r="V32" s="273"/>
      <c r="W32" s="274"/>
      <c r="X32" s="274"/>
    </row>
    <row r="33" spans="1:26" x14ac:dyDescent="0.25">
      <c r="N33" s="140" t="s">
        <v>1197</v>
      </c>
      <c r="Q33" s="86" t="s">
        <v>930</v>
      </c>
      <c r="R33" s="86" t="s">
        <v>970</v>
      </c>
      <c r="S33" s="86" t="s">
        <v>871</v>
      </c>
    </row>
    <row r="34" spans="1:26" x14ac:dyDescent="0.25">
      <c r="Q34" s="86" t="s">
        <v>932</v>
      </c>
      <c r="R34" s="86" t="s">
        <v>972</v>
      </c>
      <c r="S34" s="86" t="s">
        <v>873</v>
      </c>
      <c r="T34" s="273"/>
      <c r="U34" s="273"/>
      <c r="V34" s="273"/>
      <c r="W34" s="274"/>
      <c r="X34" s="274"/>
      <c r="Z34" s="274"/>
    </row>
    <row r="35" spans="1:26" x14ac:dyDescent="0.25">
      <c r="A35" s="275"/>
      <c r="B35" s="275"/>
      <c r="C35" s="275"/>
      <c r="D35" s="275"/>
      <c r="E35" s="275"/>
      <c r="F35" s="275"/>
      <c r="G35" s="275"/>
      <c r="H35" s="275"/>
      <c r="J35" s="275"/>
      <c r="K35" s="275"/>
      <c r="L35" s="275"/>
      <c r="M35" s="275"/>
      <c r="Q35" s="86" t="s">
        <v>934</v>
      </c>
      <c r="R35" s="86" t="s">
        <v>974</v>
      </c>
      <c r="S35" s="86" t="s">
        <v>875</v>
      </c>
      <c r="T35" s="276"/>
      <c r="U35" s="276"/>
      <c r="V35" s="276"/>
      <c r="W35" s="277"/>
      <c r="X35" s="277"/>
    </row>
    <row r="36" spans="1:26" x14ac:dyDescent="0.25">
      <c r="Q36" s="86" t="s">
        <v>936</v>
      </c>
      <c r="R36" s="86" t="s">
        <v>976</v>
      </c>
      <c r="S36" s="86" t="s">
        <v>877</v>
      </c>
    </row>
    <row r="37" spans="1:26" x14ac:dyDescent="0.25">
      <c r="O37" s="140" t="s">
        <v>714</v>
      </c>
    </row>
    <row r="38" spans="1:26" x14ac:dyDescent="0.25">
      <c r="O38" s="140" t="s">
        <v>1198</v>
      </c>
      <c r="P38" s="74" t="s">
        <v>1200</v>
      </c>
      <c r="Q38" s="247">
        <f>IF(BIKE="Always",0.6,IF(BIKE="Often",0.8,IF(BIKE="Rarely",0.95,IF(BIKE="Never",1))))</f>
        <v>1</v>
      </c>
    </row>
    <row r="39" spans="1:26" x14ac:dyDescent="0.25">
      <c r="O39" s="140" t="s">
        <v>1199</v>
      </c>
    </row>
    <row r="40" spans="1:26" x14ac:dyDescent="0.25">
      <c r="O40" s="140" t="s">
        <v>1178</v>
      </c>
    </row>
  </sheetData>
  <dataValidations count="7">
    <dataValidation type="list" allowBlank="1" showInputMessage="1" showErrorMessage="1" sqref="D15:E15">
      <formula1>$Q$19:$Q$22</formula1>
    </dataValidation>
    <dataValidation type="list" allowBlank="1" showInputMessage="1" showErrorMessage="1" sqref="F15">
      <formula1>$T$19:$T$23</formula1>
    </dataValidation>
    <dataValidation type="list" allowBlank="1" showInputMessage="1" showErrorMessage="1" sqref="C15">
      <formula1>$O$19:$O$23</formula1>
    </dataValidation>
    <dataValidation type="list" allowBlank="1" showInputMessage="1" showErrorMessage="1" sqref="D7:D11">
      <formula1>CARTYPE</formula1>
    </dataValidation>
    <dataValidation type="list" allowBlank="1" showInputMessage="1" showErrorMessage="1" sqref="E7:E11">
      <formula1>CARMILES</formula1>
    </dataValidation>
    <dataValidation type="list" allowBlank="1" showInputMessage="1" showErrorMessage="1" sqref="B14">
      <formula1>$O$37:$O$40</formula1>
    </dataValidation>
    <dataValidation type="list" allowBlank="1" showInputMessage="1" showErrorMessage="1" sqref="C7:C11 D14 E12:E13">
      <formula1>CARSIZE</formula1>
    </dataValidation>
  </dataValidations>
  <pageMargins left="0.7" right="0.7" top="0.75" bottom="0.75" header="0.3" footer="0.3"/>
  <pageSetup paperSize="9" orientation="portrait" verticalDpi="3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19"/>
  <sheetViews>
    <sheetView showGridLines="0" showRowColHeaders="0" zoomScale="120" zoomScaleNormal="120" workbookViewId="0"/>
  </sheetViews>
  <sheetFormatPr defaultRowHeight="15" x14ac:dyDescent="0.25"/>
  <cols>
    <col min="1" max="1" width="44.28515625" style="140" customWidth="1"/>
    <col min="2" max="2" width="13.5703125" style="140" customWidth="1"/>
    <col min="3" max="3" width="17.140625" style="140" customWidth="1"/>
    <col min="4" max="5" width="9.140625" style="140"/>
    <col min="6" max="6" width="11.85546875" style="140" customWidth="1"/>
    <col min="7" max="7" width="10.42578125" style="140" customWidth="1"/>
    <col min="8" max="8" width="74.85546875" style="240" customWidth="1"/>
    <col min="9" max="16384" width="9.140625" style="140"/>
  </cols>
  <sheetData>
    <row r="1" spans="1:19" ht="33.75" customHeight="1" x14ac:dyDescent="0.5">
      <c r="A1" s="228" t="s">
        <v>1500</v>
      </c>
      <c r="B1" s="174">
        <f>FLYTOT*mult2</f>
        <v>0.79799999999999993</v>
      </c>
      <c r="C1" s="138"/>
      <c r="D1" s="138"/>
      <c r="E1" s="138"/>
      <c r="F1" s="138"/>
      <c r="G1" s="138"/>
      <c r="H1" s="138"/>
    </row>
    <row r="2" spans="1:19" ht="15.75" x14ac:dyDescent="0.25">
      <c r="A2" s="138"/>
      <c r="B2" s="249" t="s">
        <v>1306</v>
      </c>
      <c r="C2" s="138"/>
      <c r="D2" s="138"/>
      <c r="E2" s="138"/>
      <c r="F2" s="138"/>
      <c r="G2" s="138"/>
      <c r="H2" s="138"/>
      <c r="I2" s="143"/>
      <c r="J2" s="143"/>
    </row>
    <row r="3" spans="1:19" ht="32.25" customHeight="1" x14ac:dyDescent="0.35">
      <c r="A3" s="138"/>
      <c r="B3" s="267" t="s">
        <v>1499</v>
      </c>
      <c r="C3" s="138"/>
      <c r="D3" s="138"/>
      <c r="E3" s="138"/>
      <c r="F3" s="138"/>
      <c r="G3" s="138"/>
      <c r="H3" s="138"/>
      <c r="I3" s="143"/>
      <c r="J3" s="143"/>
    </row>
    <row r="4" spans="1:19" ht="28.5" customHeight="1" thickBot="1" x14ac:dyDescent="0.3">
      <c r="A4" s="138"/>
      <c r="B4" s="138"/>
      <c r="C4" s="263" t="s">
        <v>1487</v>
      </c>
      <c r="D4" s="138"/>
      <c r="E4" s="138"/>
      <c r="F4" s="138"/>
      <c r="G4" s="138"/>
      <c r="H4" s="278"/>
      <c r="I4" s="143"/>
      <c r="J4" s="143"/>
      <c r="L4" s="74" t="s">
        <v>741</v>
      </c>
      <c r="N4" s="140" t="s">
        <v>745</v>
      </c>
    </row>
    <row r="5" spans="1:19" ht="28.5" customHeight="1" thickTop="1" thickBot="1" x14ac:dyDescent="0.3">
      <c r="A5" s="138"/>
      <c r="B5" s="138"/>
      <c r="C5" s="313">
        <v>0</v>
      </c>
      <c r="D5" s="279" t="s">
        <v>746</v>
      </c>
      <c r="E5" s="138"/>
      <c r="F5" s="138"/>
      <c r="G5" s="138"/>
      <c r="H5" s="138"/>
      <c r="I5" s="143"/>
      <c r="J5" s="143"/>
      <c r="N5" s="140" t="s">
        <v>742</v>
      </c>
      <c r="P5" s="140" t="s">
        <v>743</v>
      </c>
      <c r="Q5" s="266">
        <f>34*1.9/63</f>
        <v>1.0253968253968253</v>
      </c>
      <c r="R5" s="140" t="s">
        <v>744</v>
      </c>
    </row>
    <row r="6" spans="1:19" ht="28.5" customHeight="1" thickTop="1" thickBot="1" x14ac:dyDescent="0.3">
      <c r="A6" s="138"/>
      <c r="B6" s="138"/>
      <c r="C6" s="313">
        <v>0</v>
      </c>
      <c r="D6" s="279" t="s">
        <v>1075</v>
      </c>
      <c r="E6" s="138"/>
      <c r="F6" s="138"/>
      <c r="G6" s="138"/>
      <c r="H6" s="138"/>
      <c r="I6" s="143" t="s">
        <v>482</v>
      </c>
      <c r="J6" s="143" t="s">
        <v>483</v>
      </c>
      <c r="N6" s="140" t="s">
        <v>480</v>
      </c>
    </row>
    <row r="7" spans="1:19" ht="28.5" customHeight="1" thickTop="1" thickBot="1" x14ac:dyDescent="0.3">
      <c r="A7" s="138"/>
      <c r="B7" s="138"/>
      <c r="C7" s="313">
        <v>1</v>
      </c>
      <c r="D7" s="279" t="s">
        <v>464</v>
      </c>
      <c r="E7" s="138"/>
      <c r="F7" s="130"/>
      <c r="G7" s="138"/>
      <c r="H7" s="138"/>
      <c r="I7" s="143">
        <v>800</v>
      </c>
      <c r="J7" s="143">
        <f>UKO*FLYFACTOR*I7/1000</f>
        <v>0</v>
      </c>
      <c r="N7" s="140" t="s">
        <v>465</v>
      </c>
    </row>
    <row r="8" spans="1:19" ht="28.5" customHeight="1" thickTop="1" thickBot="1" x14ac:dyDescent="0.3">
      <c r="A8" s="138"/>
      <c r="B8" s="138"/>
      <c r="C8" s="313">
        <v>0</v>
      </c>
      <c r="D8" s="279" t="s">
        <v>459</v>
      </c>
      <c r="E8" s="138"/>
      <c r="F8" s="130"/>
      <c r="G8" s="138"/>
      <c r="H8" s="138"/>
      <c r="I8" s="143">
        <v>1000</v>
      </c>
      <c r="J8" s="143">
        <f>NWEU*FLYFACTOR*I8/1000</f>
        <v>0</v>
      </c>
    </row>
    <row r="9" spans="1:19" ht="28.5" customHeight="1" thickTop="1" thickBot="1" x14ac:dyDescent="0.3">
      <c r="A9" s="138"/>
      <c r="B9" s="138"/>
      <c r="C9" s="313">
        <v>0</v>
      </c>
      <c r="D9" s="279" t="s">
        <v>460</v>
      </c>
      <c r="E9" s="138"/>
      <c r="F9" s="130"/>
      <c r="G9" s="138"/>
      <c r="H9" s="138"/>
      <c r="I9" s="143">
        <v>2000</v>
      </c>
      <c r="J9" s="143">
        <f>SEEU*FLYFACTOR*I9/1000</f>
        <v>0.42</v>
      </c>
      <c r="N9" s="74" t="s">
        <v>478</v>
      </c>
      <c r="O9" s="74"/>
      <c r="P9" s="74" t="s">
        <v>479</v>
      </c>
    </row>
    <row r="10" spans="1:19" ht="28.5" customHeight="1" thickTop="1" thickBot="1" x14ac:dyDescent="0.3">
      <c r="A10" s="138"/>
      <c r="B10" s="138"/>
      <c r="C10" s="313">
        <v>0</v>
      </c>
      <c r="D10" s="279" t="s">
        <v>462</v>
      </c>
      <c r="E10" s="138"/>
      <c r="F10" s="130"/>
      <c r="G10" s="138"/>
      <c r="H10" s="138"/>
      <c r="I10" s="143">
        <v>5000</v>
      </c>
      <c r="J10" s="143">
        <f>MENA*FLYFACTOR*I10/1000</f>
        <v>0</v>
      </c>
      <c r="N10" s="153">
        <v>0.21</v>
      </c>
      <c r="P10" s="153">
        <f>mult2</f>
        <v>1.9</v>
      </c>
      <c r="R10" s="140" t="s">
        <v>477</v>
      </c>
      <c r="S10" s="140" t="s">
        <v>481</v>
      </c>
    </row>
    <row r="11" spans="1:19" ht="28.5" customHeight="1" thickTop="1" thickBot="1" x14ac:dyDescent="0.3">
      <c r="A11" s="138"/>
      <c r="B11" s="138"/>
      <c r="C11" s="313">
        <v>0</v>
      </c>
      <c r="D11" s="279" t="s">
        <v>463</v>
      </c>
      <c r="E11" s="138"/>
      <c r="F11" s="130"/>
      <c r="G11" s="138"/>
      <c r="H11" s="138"/>
      <c r="I11" s="143">
        <v>8000</v>
      </c>
      <c r="J11" s="143">
        <f>USA*FLYFACTOR*I11/1000</f>
        <v>0</v>
      </c>
    </row>
    <row r="12" spans="1:19" ht="28.5" customHeight="1" thickTop="1" thickBot="1" x14ac:dyDescent="0.3">
      <c r="A12" s="138"/>
      <c r="B12" s="138"/>
      <c r="C12" s="313">
        <v>0</v>
      </c>
      <c r="D12" s="279" t="s">
        <v>461</v>
      </c>
      <c r="E12" s="138"/>
      <c r="F12" s="130"/>
      <c r="G12" s="138"/>
      <c r="H12" s="138"/>
      <c r="I12" s="143">
        <v>12000</v>
      </c>
      <c r="J12" s="143">
        <f>SA*FLYFACTOR*I12/1000</f>
        <v>0</v>
      </c>
    </row>
    <row r="13" spans="1:19" ht="29.25" customHeight="1" thickTop="1" x14ac:dyDescent="0.25">
      <c r="A13" s="138"/>
      <c r="B13" s="130" t="s">
        <v>1298</v>
      </c>
      <c r="C13" s="138"/>
      <c r="D13" s="280"/>
      <c r="E13" s="138"/>
      <c r="F13" s="130"/>
      <c r="G13" s="138"/>
      <c r="H13" s="138"/>
      <c r="I13" s="143">
        <v>14000</v>
      </c>
      <c r="J13" s="143">
        <f>FEAST*FLYFACTOR*I13/1000</f>
        <v>0</v>
      </c>
    </row>
    <row r="14" spans="1:19" x14ac:dyDescent="0.25">
      <c r="A14" s="138"/>
      <c r="B14" s="130" t="s">
        <v>1299</v>
      </c>
      <c r="C14" s="138"/>
      <c r="D14" s="280"/>
      <c r="E14" s="138"/>
      <c r="F14" s="130"/>
      <c r="G14" s="138"/>
      <c r="H14" s="138"/>
      <c r="I14" s="143">
        <v>20000</v>
      </c>
      <c r="J14" s="143">
        <f>AUS*FLYFACTOR*I14/1000</f>
        <v>0</v>
      </c>
    </row>
    <row r="15" spans="1:19" ht="15.75" x14ac:dyDescent="0.25">
      <c r="A15" s="138"/>
      <c r="B15" s="138"/>
      <c r="C15" s="138"/>
      <c r="D15" s="138"/>
      <c r="E15" s="138"/>
      <c r="F15" s="138"/>
      <c r="G15" s="138"/>
      <c r="H15" s="138"/>
      <c r="I15" s="143"/>
      <c r="J15" s="143">
        <f>SUM(J7:J14)</f>
        <v>0.42</v>
      </c>
      <c r="K15" s="74" t="s">
        <v>1076</v>
      </c>
      <c r="N15" s="243" t="s">
        <v>1201</v>
      </c>
      <c r="S15" s="243" t="s">
        <v>1202</v>
      </c>
    </row>
    <row r="16" spans="1:19" ht="15.75" x14ac:dyDescent="0.25">
      <c r="A16" s="138"/>
      <c r="B16" s="138"/>
      <c r="C16" s="138"/>
      <c r="D16" s="138"/>
      <c r="E16" s="138"/>
      <c r="F16" s="138"/>
      <c r="G16" s="138"/>
      <c r="H16" s="138"/>
      <c r="I16" s="143"/>
      <c r="J16" s="143"/>
      <c r="N16" s="140" t="s">
        <v>1161</v>
      </c>
      <c r="S16" s="243" t="s">
        <v>1203</v>
      </c>
    </row>
    <row r="17" spans="1:19" ht="15.75" x14ac:dyDescent="0.25">
      <c r="A17" s="138"/>
      <c r="B17" s="138"/>
      <c r="C17" s="138"/>
      <c r="D17" s="216"/>
      <c r="E17" s="138"/>
      <c r="F17" s="138"/>
      <c r="G17" s="138"/>
      <c r="H17" s="138"/>
      <c r="I17" s="143"/>
      <c r="J17" s="143"/>
      <c r="S17" s="243" t="s">
        <v>1204</v>
      </c>
    </row>
    <row r="18" spans="1:19" x14ac:dyDescent="0.25">
      <c r="A18" s="138"/>
      <c r="B18" s="138"/>
      <c r="C18" s="138"/>
      <c r="D18" s="216"/>
      <c r="E18" s="138"/>
      <c r="F18" s="138"/>
      <c r="G18" s="138"/>
      <c r="H18" s="138"/>
      <c r="P18" s="281"/>
    </row>
    <row r="19" spans="1:19" x14ac:dyDescent="0.25">
      <c r="A19" s="138"/>
      <c r="B19" s="138"/>
      <c r="C19" s="138"/>
      <c r="D19" s="138"/>
      <c r="E19" s="138"/>
      <c r="F19" s="138"/>
      <c r="G19" s="138"/>
      <c r="H19" s="138"/>
    </row>
  </sheetData>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H66"/>
  <sheetViews>
    <sheetView showGridLines="0" showRowColHeaders="0" zoomScale="120" zoomScaleNormal="120" workbookViewId="0">
      <selection activeCell="E8" sqref="E8:F8"/>
    </sheetView>
  </sheetViews>
  <sheetFormatPr defaultRowHeight="15" x14ac:dyDescent="0.25"/>
  <cols>
    <col min="1" max="1" width="44.28515625" style="140" customWidth="1"/>
    <col min="2" max="2" width="14.85546875" style="148" customWidth="1"/>
    <col min="3" max="3" width="24.42578125" style="140" customWidth="1"/>
    <col min="4" max="4" width="17.7109375" style="140" customWidth="1"/>
    <col min="5" max="5" width="20.42578125" style="140" customWidth="1"/>
    <col min="6" max="6" width="22.7109375" style="140" customWidth="1"/>
    <col min="7" max="7" width="13.85546875" style="140" bestFit="1" customWidth="1"/>
    <col min="8" max="8" width="29.140625" style="140" customWidth="1"/>
    <col min="9" max="11" width="43.85546875" style="240" customWidth="1"/>
    <col min="12" max="13" width="9.140625" style="143"/>
    <col min="14" max="14" width="11.5703125" style="140" customWidth="1"/>
    <col min="15" max="16" width="9.140625" style="140"/>
    <col min="17" max="17" width="9.5703125" style="140" customWidth="1"/>
    <col min="18" max="16384" width="9.140625" style="140"/>
  </cols>
  <sheetData>
    <row r="1" spans="1:34" ht="33.75" customHeight="1" x14ac:dyDescent="0.5">
      <c r="A1" s="228" t="s">
        <v>39</v>
      </c>
      <c r="B1" s="174">
        <f>IF(CMEAT="No",(FOODEM*RCO*SCO*GCO*WCO*OCO*CCO-GFAC)/1000,(NFOODEM*RCO*SCO*GCO*WCO*OCO*CCO-GFAC)/1000)</f>
        <v>0.45961599999999986</v>
      </c>
      <c r="C1" s="138"/>
      <c r="D1" s="138"/>
      <c r="E1" s="138"/>
      <c r="F1" s="138"/>
      <c r="G1" s="138"/>
    </row>
    <row r="2" spans="1:34" ht="23.25" x14ac:dyDescent="0.35">
      <c r="A2" s="138"/>
      <c r="B2" s="238" t="s">
        <v>1306</v>
      </c>
      <c r="C2" s="138"/>
      <c r="D2" s="138"/>
      <c r="E2" s="138"/>
      <c r="F2" s="138"/>
      <c r="G2" s="173">
        <f>IF(CMEAT="No",(FOODEM*RCO*SCO*GCO*WCO*OCO*CCO-GFAC)/1000,(NFOODEM*RCO*SCO*GCO*WCO*OCO*CCO-GFAC)/1000)</f>
        <v>0.45961599999999986</v>
      </c>
      <c r="H2" s="143" t="s">
        <v>1307</v>
      </c>
      <c r="L2" s="74" t="s">
        <v>536</v>
      </c>
      <c r="M2" s="118"/>
      <c r="X2" s="282" t="s">
        <v>1205</v>
      </c>
      <c r="AH2" s="140">
        <v>1.3</v>
      </c>
    </row>
    <row r="3" spans="1:34" ht="21" x14ac:dyDescent="0.35">
      <c r="A3" s="220"/>
      <c r="B3" s="267" t="s">
        <v>1498</v>
      </c>
      <c r="C3" s="138"/>
      <c r="D3" s="129"/>
      <c r="E3" s="129"/>
      <c r="F3" s="129"/>
      <c r="G3" s="129"/>
      <c r="H3" s="143"/>
      <c r="I3" s="240" t="s">
        <v>1292</v>
      </c>
      <c r="L3" s="74"/>
      <c r="M3" s="86" t="s">
        <v>753</v>
      </c>
      <c r="N3" s="283">
        <f>IF(DIET="NO ANIMAL PRODUCTS AT ALL",1300,IF(DIET="VERY OCCASIONAL CONSUMPTION OF MEAT, FISH, EGGS OR DAIRY PRODUCTS",1600,IF(DIET="NO MEAT BUT MODERATE REGULAR CONSUMPTION OF EGGS OR FISH",1500,IF(DIET="NO MEAT BUT MODERATE REGULAR CONSUMPTION OF DAIRY PRODUCTS",1800,IF(DIET="NO MEAT BUT GENEROUS CONSUMPTION OF EGGS, DAIRY PRODUCTS AND FISH",2200,IF(DIET="MODERATE AMOUNTS OF MEAT, FISH OR DAIRY PRODUCTS AT MOST MEALS",2600,IF(DIET="HIGH CONSUMPTION OF MEAT, MOSTLY PORK AND POULTRY MEAT",3000,IF(DIET="HIGH CONSUMPTION OF MEAT, MOSTLY BEEF AND LAMB",3500))))))))</f>
        <v>1600</v>
      </c>
      <c r="X3" s="282" t="s">
        <v>1384</v>
      </c>
      <c r="AH3" s="140">
        <v>1.6</v>
      </c>
    </row>
    <row r="4" spans="1:34" ht="30" customHeight="1" x14ac:dyDescent="0.35">
      <c r="A4" s="220"/>
      <c r="B4" s="317" t="s">
        <v>1384</v>
      </c>
      <c r="C4" s="318"/>
      <c r="D4" s="318"/>
      <c r="E4" s="318"/>
      <c r="F4" s="138"/>
      <c r="G4" s="138"/>
      <c r="H4" s="143"/>
      <c r="I4" s="240" t="s">
        <v>1430</v>
      </c>
      <c r="L4" s="74"/>
      <c r="M4" s="86" t="s">
        <v>1393</v>
      </c>
      <c r="N4" s="283">
        <f>IF(DIET="HIGH CONSUMPTION OF MEAT, MOSTLY BEEF AND LAMB",2000,IF(DIET="HIGH CONSUMPTION OF MEAT, MOSTLY PORK AND POULTRY MEAT",1900,IF(DIET="MODERATE AMOUNTS OF MEAT, FISH OR DAIRY PRODUCTS AT MOST MEALS",1500,IF(DIET="NO MEAT BUT GENEROUS CONSUMPTION OF EGGS, DAIRY PRODUCTS AND FISH",1300,IF(DIET="NO MEAT BUT MODERATE REGULAR CONSUMPTION OF DAIRY PRODUCTS",1100,IF(DIET="NO MEAT BUT MODERATE REGULAR CONSUMPTION OF EGGS OR FISH",1500,IF(DIET="VERY OCCASIONAL CONSUMPTION OF MEAT, FISH, EGGS OR DAIRY PRODUCTS", 1600,IF(DIET="NO ANIMAL PRODUCTS AT ALL",1300))))))))</f>
        <v>1600</v>
      </c>
      <c r="X4" s="282" t="s">
        <v>1385</v>
      </c>
      <c r="AH4" s="140">
        <v>1.5</v>
      </c>
    </row>
    <row r="5" spans="1:34" ht="33.75" customHeight="1" thickBot="1" x14ac:dyDescent="0.4">
      <c r="A5" s="220"/>
      <c r="B5" s="267" t="s">
        <v>1499</v>
      </c>
      <c r="C5" s="138"/>
      <c r="D5" s="138"/>
      <c r="E5" s="138"/>
      <c r="F5" s="138"/>
      <c r="G5" s="138"/>
      <c r="I5" s="240" t="s">
        <v>1514</v>
      </c>
      <c r="L5" s="74"/>
      <c r="M5" s="143" t="s">
        <v>524</v>
      </c>
      <c r="N5" s="143" t="s">
        <v>527</v>
      </c>
      <c r="P5" s="143"/>
      <c r="X5" s="282" t="s">
        <v>1386</v>
      </c>
      <c r="AH5" s="140">
        <v>1.8</v>
      </c>
    </row>
    <row r="6" spans="1:34" ht="36" customHeight="1" thickTop="1" thickBot="1" x14ac:dyDescent="0.3">
      <c r="A6" s="138"/>
      <c r="B6" s="280"/>
      <c r="C6" s="221" t="s">
        <v>547</v>
      </c>
      <c r="D6" s="285" t="s">
        <v>514</v>
      </c>
      <c r="E6" s="315" t="s">
        <v>1405</v>
      </c>
      <c r="F6" s="316"/>
      <c r="G6" s="286"/>
      <c r="H6" s="287"/>
      <c r="L6" s="74"/>
      <c r="M6" s="143" t="s">
        <v>525</v>
      </c>
      <c r="N6" s="143" t="s">
        <v>526</v>
      </c>
      <c r="O6" s="140" t="s">
        <v>516</v>
      </c>
      <c r="P6" s="143" t="s">
        <v>517</v>
      </c>
      <c r="X6" s="282" t="s">
        <v>1206</v>
      </c>
      <c r="AH6" s="140">
        <v>2.2000000000000002</v>
      </c>
    </row>
    <row r="7" spans="1:34" ht="36" customHeight="1" thickTop="1" thickBot="1" x14ac:dyDescent="0.3">
      <c r="A7" s="138"/>
      <c r="B7" s="280"/>
      <c r="C7" s="221" t="s">
        <v>1396</v>
      </c>
      <c r="D7" s="285" t="s">
        <v>517</v>
      </c>
      <c r="E7" s="315" t="s">
        <v>1402</v>
      </c>
      <c r="F7" s="316"/>
      <c r="G7" s="286"/>
      <c r="H7" s="240"/>
      <c r="L7" s="81" t="s">
        <v>519</v>
      </c>
      <c r="M7" s="143">
        <v>0.8</v>
      </c>
      <c r="N7" s="143">
        <v>1</v>
      </c>
      <c r="O7" s="140">
        <v>1.05</v>
      </c>
      <c r="P7" s="143">
        <v>1.1000000000000001</v>
      </c>
      <c r="Q7" s="283">
        <f>IF(READY="Not at all",0.8,IF(READY="A bit/occasionally",1,IF(READY="Regularly",1.05,IF(READY="A lot",1.1))))</f>
        <v>0.8</v>
      </c>
      <c r="R7" s="74" t="s">
        <v>536</v>
      </c>
      <c r="X7" s="282" t="s">
        <v>1207</v>
      </c>
      <c r="AH7" s="140">
        <v>2.6</v>
      </c>
    </row>
    <row r="8" spans="1:34" ht="36.75" customHeight="1" thickTop="1" thickBot="1" x14ac:dyDescent="0.3">
      <c r="A8" s="138"/>
      <c r="B8" s="280"/>
      <c r="C8" s="221" t="s">
        <v>1383</v>
      </c>
      <c r="D8" s="285" t="s">
        <v>515</v>
      </c>
      <c r="E8" s="315" t="s">
        <v>1301</v>
      </c>
      <c r="F8" s="316"/>
      <c r="G8" s="138"/>
      <c r="H8" s="240"/>
      <c r="L8" s="81" t="s">
        <v>1208</v>
      </c>
      <c r="M8" s="143">
        <v>1.1000000000000001</v>
      </c>
      <c r="N8" s="143">
        <v>1.05</v>
      </c>
      <c r="O8" s="140">
        <v>0.98</v>
      </c>
      <c r="P8" s="143">
        <v>0.9</v>
      </c>
      <c r="Q8" s="283">
        <f>IF(SEAS="Not at all",1.1,IF(SEAS="A bit/occasionally",1.05,IF(SEAS="Regularly",0.98,IF(SEAS="A lot",0.9))))</f>
        <v>0.9</v>
      </c>
      <c r="R8" s="74" t="s">
        <v>1399</v>
      </c>
      <c r="X8" s="282" t="s">
        <v>1395</v>
      </c>
      <c r="AH8" s="140">
        <v>3</v>
      </c>
    </row>
    <row r="9" spans="1:34" ht="36.75" customHeight="1" thickTop="1" thickBot="1" x14ac:dyDescent="0.3">
      <c r="A9" s="138"/>
      <c r="B9" s="280"/>
      <c r="C9" s="221" t="s">
        <v>518</v>
      </c>
      <c r="D9" s="285" t="s">
        <v>514</v>
      </c>
      <c r="E9" s="315" t="s">
        <v>1403</v>
      </c>
      <c r="F9" s="316"/>
      <c r="G9" s="138"/>
      <c r="H9" s="240"/>
      <c r="L9" s="81" t="s">
        <v>1209</v>
      </c>
      <c r="M9" s="143">
        <v>0.95</v>
      </c>
      <c r="N9" s="143">
        <v>1</v>
      </c>
      <c r="O9" s="140">
        <v>1.05</v>
      </c>
      <c r="P9" s="143">
        <v>1.2</v>
      </c>
      <c r="Q9" s="283">
        <f>IF(GLUT="Not at all",0.95,IF(GLUT="A bit/occasionally",1,IF(GLUT="Regularly",1.05,IF(GLUT="A lot",1.2))))</f>
        <v>1</v>
      </c>
      <c r="R9" s="74" t="s">
        <v>539</v>
      </c>
      <c r="X9" s="282" t="s">
        <v>1394</v>
      </c>
      <c r="AH9" s="140">
        <v>3.5</v>
      </c>
    </row>
    <row r="10" spans="1:34" ht="36.75" customHeight="1" thickTop="1" thickBot="1" x14ac:dyDescent="0.3">
      <c r="A10" s="138"/>
      <c r="B10" s="280"/>
      <c r="C10" s="221" t="s">
        <v>1382</v>
      </c>
      <c r="D10" s="285" t="s">
        <v>515</v>
      </c>
      <c r="E10" s="315" t="s">
        <v>1404</v>
      </c>
      <c r="F10" s="316"/>
      <c r="G10" s="138"/>
      <c r="H10" s="240"/>
      <c r="L10" s="81" t="s">
        <v>522</v>
      </c>
      <c r="M10" s="143">
        <v>0.85</v>
      </c>
      <c r="N10" s="143">
        <v>0.96</v>
      </c>
      <c r="O10" s="140">
        <v>1.04</v>
      </c>
      <c r="P10" s="143">
        <v>1.1499999999999999</v>
      </c>
      <c r="Q10" s="283">
        <f>IF(CHUCK="Not at all",0.85,IF(CHUCK="A bit/occasionally",0.95,IF(CHUCK="Regularly",1.05,IF(CHUCK="A lot",1.1))))</f>
        <v>0.85</v>
      </c>
      <c r="R10" s="74" t="s">
        <v>538</v>
      </c>
    </row>
    <row r="11" spans="1:34" ht="36.75" customHeight="1" thickTop="1" thickBot="1" x14ac:dyDescent="0.3">
      <c r="A11" s="138"/>
      <c r="B11" s="280"/>
      <c r="C11" s="221" t="s">
        <v>1397</v>
      </c>
      <c r="D11" s="285" t="s">
        <v>515</v>
      </c>
      <c r="E11" s="315" t="s">
        <v>1493</v>
      </c>
      <c r="F11" s="316"/>
      <c r="G11" s="138"/>
      <c r="H11" s="240"/>
      <c r="L11" s="80" t="s">
        <v>1210</v>
      </c>
      <c r="M11" s="143">
        <v>0.95</v>
      </c>
      <c r="N11" s="143">
        <v>1</v>
      </c>
      <c r="O11" s="140">
        <v>1.05</v>
      </c>
      <c r="P11" s="143">
        <v>1.1499999999999999</v>
      </c>
      <c r="Q11" s="283">
        <f>IF(OUT="Not at all",0.95,IF(OUT="A bit/occasionally",1,IF(OUT="Regularly",1.05,IF(OUT="A lot",1.15))))</f>
        <v>1</v>
      </c>
      <c r="R11" s="74" t="s">
        <v>537</v>
      </c>
    </row>
    <row r="12" spans="1:34" ht="36.75" customHeight="1" thickTop="1" thickBot="1" x14ac:dyDescent="0.3">
      <c r="A12" s="138"/>
      <c r="B12" s="280"/>
      <c r="C12" s="221" t="s">
        <v>534</v>
      </c>
      <c r="D12" s="285" t="s">
        <v>517</v>
      </c>
      <c r="E12" s="315" t="s">
        <v>1300</v>
      </c>
      <c r="F12" s="316"/>
      <c r="G12" s="138"/>
      <c r="H12" s="240"/>
      <c r="L12" s="152" t="s">
        <v>1398</v>
      </c>
      <c r="M12" s="143">
        <v>0.98</v>
      </c>
      <c r="N12" s="143">
        <v>1</v>
      </c>
      <c r="O12" s="140">
        <v>1.02</v>
      </c>
      <c r="P12" s="143">
        <v>1.05</v>
      </c>
      <c r="Q12" s="283">
        <f>IF(CAKE="Not at all",0.95,IF(CAKE="A bit/occasionally",0.98,IF(CAKE="Regularly",1,IF(CAKE="A lot",1.05))))</f>
        <v>0.98</v>
      </c>
      <c r="R12" s="74" t="s">
        <v>1400</v>
      </c>
      <c r="X12" s="140" t="s">
        <v>1392</v>
      </c>
    </row>
    <row r="13" spans="1:34" ht="36.75" customHeight="1" thickTop="1" x14ac:dyDescent="0.25">
      <c r="A13" s="138"/>
      <c r="B13" s="280"/>
      <c r="C13" s="138"/>
      <c r="D13" s="138"/>
      <c r="E13" s="138"/>
      <c r="F13" s="138"/>
      <c r="G13" s="138"/>
      <c r="H13" s="240"/>
      <c r="L13" s="81" t="s">
        <v>523</v>
      </c>
      <c r="M13" s="143">
        <v>0</v>
      </c>
      <c r="N13" s="143">
        <v>10</v>
      </c>
      <c r="O13" s="140">
        <v>100</v>
      </c>
      <c r="P13" s="143">
        <v>500</v>
      </c>
      <c r="Q13" s="283">
        <f>IF(GYO="Not at all",0,IF(GYO="A bit/occasionally",10,IF(GYO="Regularly",100,IF(GYO="A lot",500))))</f>
        <v>500</v>
      </c>
      <c r="R13" s="74" t="s">
        <v>1401</v>
      </c>
    </row>
    <row r="14" spans="1:34" ht="27" customHeight="1" x14ac:dyDescent="0.25">
      <c r="B14" s="288"/>
      <c r="C14" s="289"/>
      <c r="D14" s="289"/>
      <c r="E14" s="289"/>
      <c r="F14" s="289"/>
      <c r="G14" s="289"/>
      <c r="H14" s="290"/>
    </row>
    <row r="15" spans="1:34" x14ac:dyDescent="0.25">
      <c r="B15" s="291"/>
      <c r="C15" s="292"/>
      <c r="D15" s="292"/>
      <c r="E15" s="292"/>
      <c r="F15" s="292"/>
      <c r="G15" s="292"/>
      <c r="H15" s="293"/>
    </row>
    <row r="16" spans="1:34" x14ac:dyDescent="0.25">
      <c r="B16" s="150"/>
      <c r="C16" s="277"/>
      <c r="D16" s="277"/>
      <c r="E16" s="277"/>
      <c r="F16" s="277"/>
      <c r="G16" s="277"/>
      <c r="H16" s="143"/>
    </row>
    <row r="17" spans="2:33" x14ac:dyDescent="0.25">
      <c r="B17" s="150"/>
      <c r="C17" s="277"/>
      <c r="D17" s="277"/>
      <c r="E17" s="277"/>
      <c r="F17" s="277"/>
      <c r="G17" s="277"/>
      <c r="H17" s="143"/>
    </row>
    <row r="18" spans="2:33" ht="192.75" customHeight="1" x14ac:dyDescent="0.25">
      <c r="B18" s="150"/>
      <c r="C18" s="277"/>
      <c r="D18" s="277"/>
      <c r="E18" s="277"/>
      <c r="F18" s="277"/>
      <c r="G18" s="277"/>
      <c r="H18" s="143"/>
    </row>
    <row r="19" spans="2:33" x14ac:dyDescent="0.25">
      <c r="B19" s="150"/>
      <c r="C19" s="277"/>
      <c r="D19" s="277"/>
      <c r="E19" s="277"/>
      <c r="F19" s="277"/>
      <c r="G19" s="277"/>
      <c r="H19" s="143"/>
    </row>
    <row r="20" spans="2:33" x14ac:dyDescent="0.25">
      <c r="B20" s="150"/>
      <c r="C20" s="277"/>
      <c r="D20" s="277"/>
      <c r="E20" s="277"/>
      <c r="F20" s="277"/>
      <c r="G20" s="277"/>
      <c r="H20" s="143"/>
    </row>
    <row r="21" spans="2:33" x14ac:dyDescent="0.25">
      <c r="B21" s="150"/>
      <c r="C21" s="277"/>
      <c r="D21" s="277"/>
      <c r="E21" s="277"/>
      <c r="F21" s="277"/>
      <c r="G21" s="277"/>
      <c r="H21" s="143"/>
    </row>
    <row r="22" spans="2:33" x14ac:dyDescent="0.25">
      <c r="B22" s="150"/>
      <c r="C22" s="143"/>
      <c r="D22" s="143"/>
      <c r="E22" s="143"/>
      <c r="F22" s="143"/>
      <c r="G22" s="143"/>
      <c r="H22" s="143"/>
    </row>
    <row r="23" spans="2:33" ht="15.75" x14ac:dyDescent="0.25">
      <c r="B23" s="89" t="s">
        <v>754</v>
      </c>
      <c r="C23" s="152"/>
      <c r="D23" s="152"/>
      <c r="E23" s="152"/>
      <c r="F23" s="152"/>
      <c r="G23" s="152"/>
      <c r="H23" s="152"/>
    </row>
    <row r="24" spans="2:33" ht="15.75" x14ac:dyDescent="0.25">
      <c r="B24" s="89" t="s">
        <v>1077</v>
      </c>
      <c r="C24" s="152"/>
      <c r="D24" s="152"/>
      <c r="E24" s="152"/>
      <c r="F24" s="152"/>
      <c r="G24" s="152"/>
      <c r="H24" s="152"/>
    </row>
    <row r="25" spans="2:33" x14ac:dyDescent="0.25">
      <c r="B25" s="152" t="s">
        <v>755</v>
      </c>
      <c r="C25" s="152"/>
      <c r="D25" s="152"/>
      <c r="E25" s="152"/>
      <c r="F25" s="152"/>
      <c r="G25" s="152"/>
      <c r="H25" s="152"/>
      <c r="AB25" s="148" t="s">
        <v>543</v>
      </c>
      <c r="AD25" s="140" t="s">
        <v>544</v>
      </c>
    </row>
    <row r="26" spans="2:33" x14ac:dyDescent="0.25">
      <c r="B26" s="152" t="s">
        <v>756</v>
      </c>
      <c r="C26" s="152"/>
      <c r="D26" s="152"/>
      <c r="E26" s="152"/>
      <c r="F26" s="152"/>
      <c r="G26" s="152"/>
      <c r="H26" s="152"/>
      <c r="AB26" s="294" t="s">
        <v>484</v>
      </c>
    </row>
    <row r="27" spans="2:33" ht="15.75" x14ac:dyDescent="0.25">
      <c r="B27" s="96" t="s">
        <v>1078</v>
      </c>
      <c r="C27" s="152" t="s">
        <v>751</v>
      </c>
      <c r="D27" s="90" t="s">
        <v>550</v>
      </c>
      <c r="E27" s="90"/>
      <c r="F27" s="152"/>
      <c r="G27" s="152"/>
      <c r="H27" s="152"/>
      <c r="M27" s="143" t="s">
        <v>548</v>
      </c>
      <c r="O27" s="255"/>
      <c r="AB27" s="148"/>
      <c r="AD27" s="140" t="s">
        <v>504</v>
      </c>
    </row>
    <row r="28" spans="2:33" ht="15.75" x14ac:dyDescent="0.25">
      <c r="B28" s="295" t="s">
        <v>489</v>
      </c>
      <c r="C28" s="296">
        <v>6.552006552006552</v>
      </c>
      <c r="D28" s="95">
        <v>4</v>
      </c>
      <c r="E28" s="120"/>
      <c r="F28" s="152"/>
      <c r="G28" s="152"/>
      <c r="H28" s="152"/>
      <c r="I28" s="240">
        <v>24</v>
      </c>
      <c r="L28" s="297">
        <f t="shared" ref="L28:L39" si="0">((D28/100)*1230*365*I28*1.5)/1000</f>
        <v>646.48800000000006</v>
      </c>
      <c r="M28" s="143">
        <v>80</v>
      </c>
      <c r="N28" s="153">
        <f>L28*M28/100</f>
        <v>517.19040000000007</v>
      </c>
      <c r="O28" s="108" t="s">
        <v>1102</v>
      </c>
      <c r="R28" s="74" t="s">
        <v>545</v>
      </c>
      <c r="S28" s="93">
        <f>FOODEM*0.89</f>
        <v>1424</v>
      </c>
      <c r="T28" s="140" t="s">
        <v>764</v>
      </c>
      <c r="AB28" s="148" t="s">
        <v>485</v>
      </c>
      <c r="AC28" s="140" t="s">
        <v>488</v>
      </c>
      <c r="AD28" s="140" t="s">
        <v>487</v>
      </c>
      <c r="AE28" s="140" t="s">
        <v>486</v>
      </c>
    </row>
    <row r="29" spans="2:33" ht="15.75" x14ac:dyDescent="0.25">
      <c r="B29" s="295" t="s">
        <v>490</v>
      </c>
      <c r="C29" s="296">
        <v>10.237510237510238</v>
      </c>
      <c r="D29" s="95">
        <v>17</v>
      </c>
      <c r="E29" s="120"/>
      <c r="F29" s="152"/>
      <c r="G29" s="152"/>
      <c r="H29" s="152"/>
      <c r="I29" s="240">
        <v>5</v>
      </c>
      <c r="L29" s="297">
        <f t="shared" si="0"/>
        <v>572.41125000000011</v>
      </c>
      <c r="M29" s="143">
        <v>45</v>
      </c>
      <c r="N29" s="153">
        <f t="shared" ref="N29:N39" si="1">L29*M29/100</f>
        <v>257.58506250000005</v>
      </c>
      <c r="O29" s="108" t="s">
        <v>1103</v>
      </c>
      <c r="R29" s="74"/>
      <c r="AB29" s="148" t="s">
        <v>489</v>
      </c>
      <c r="AC29" s="140">
        <v>80</v>
      </c>
      <c r="AD29" s="298">
        <f t="shared" ref="AD29:AD40" si="2">AC29*100/$AC$41</f>
        <v>6.552006552006552</v>
      </c>
      <c r="AE29" s="140">
        <v>24</v>
      </c>
      <c r="AF29" s="140">
        <f>AC29*AE29</f>
        <v>1920</v>
      </c>
      <c r="AG29" s="299">
        <f>AD29*AE29</f>
        <v>157.24815724815724</v>
      </c>
    </row>
    <row r="30" spans="2:33" ht="15.75" x14ac:dyDescent="0.25">
      <c r="B30" s="295" t="s">
        <v>491</v>
      </c>
      <c r="C30" s="296">
        <v>16.380016380016379</v>
      </c>
      <c r="D30" s="95">
        <v>12</v>
      </c>
      <c r="E30" s="120"/>
      <c r="F30" s="152"/>
      <c r="G30" s="152"/>
      <c r="H30" s="152"/>
      <c r="I30" s="240">
        <v>7</v>
      </c>
      <c r="L30" s="297">
        <f t="shared" si="0"/>
        <v>565.67700000000002</v>
      </c>
      <c r="M30" s="143">
        <v>75</v>
      </c>
      <c r="N30" s="140">
        <f t="shared" si="1"/>
        <v>424.25774999999999</v>
      </c>
      <c r="O30" s="255"/>
      <c r="R30" s="74" t="s">
        <v>540</v>
      </c>
      <c r="S30" s="245" t="e">
        <f>FARMPROP*PREFOOD</f>
        <v>#REF!</v>
      </c>
      <c r="T30" s="140" t="s">
        <v>75</v>
      </c>
      <c r="AB30" s="148" t="s">
        <v>490</v>
      </c>
      <c r="AC30" s="140">
        <v>125</v>
      </c>
      <c r="AD30" s="298">
        <f t="shared" si="2"/>
        <v>10.237510237510238</v>
      </c>
      <c r="AE30" s="140">
        <v>5</v>
      </c>
      <c r="AF30" s="140">
        <f t="shared" ref="AF30:AF40" si="3">AC30*AE30</f>
        <v>625</v>
      </c>
      <c r="AG30" s="299">
        <f t="shared" ref="AG30:AG40" si="4">AD30*AE30</f>
        <v>51.187551187551186</v>
      </c>
    </row>
    <row r="31" spans="2:33" ht="15.75" x14ac:dyDescent="0.25">
      <c r="B31" s="295" t="s">
        <v>492</v>
      </c>
      <c r="C31" s="296">
        <v>4.0131040131040132</v>
      </c>
      <c r="D31" s="95">
        <v>4</v>
      </c>
      <c r="E31" s="120"/>
      <c r="F31" s="152"/>
      <c r="G31" s="152"/>
      <c r="H31" s="152"/>
      <c r="I31" s="240">
        <v>3</v>
      </c>
      <c r="L31" s="297">
        <f t="shared" si="0"/>
        <v>80.811000000000007</v>
      </c>
      <c r="M31" s="143">
        <v>10</v>
      </c>
      <c r="N31" s="140">
        <f t="shared" si="1"/>
        <v>8.0811000000000011</v>
      </c>
      <c r="O31" s="255"/>
      <c r="R31" s="74" t="s">
        <v>541</v>
      </c>
      <c r="S31" s="245" t="e">
        <f>PREFOOD*(1-FARMPROP)</f>
        <v>#REF!</v>
      </c>
      <c r="T31" s="140" t="s">
        <v>76</v>
      </c>
      <c r="AB31" s="148" t="s">
        <v>491</v>
      </c>
      <c r="AC31" s="140">
        <v>200</v>
      </c>
      <c r="AD31" s="298">
        <f t="shared" si="2"/>
        <v>16.380016380016379</v>
      </c>
      <c r="AE31" s="140">
        <v>5</v>
      </c>
      <c r="AF31" s="140">
        <f t="shared" si="3"/>
        <v>1000</v>
      </c>
      <c r="AG31" s="299">
        <f t="shared" si="4"/>
        <v>81.900081900081886</v>
      </c>
    </row>
    <row r="32" spans="2:33" ht="15.75" x14ac:dyDescent="0.25">
      <c r="B32" s="295" t="s">
        <v>500</v>
      </c>
      <c r="C32" s="296">
        <v>1.638001638001638</v>
      </c>
      <c r="D32" s="95">
        <f t="shared" ref="D32:D39" si="5">C32</f>
        <v>1.638001638001638</v>
      </c>
      <c r="E32" s="120"/>
      <c r="F32" s="152"/>
      <c r="G32" s="152"/>
      <c r="H32" s="152"/>
      <c r="I32" s="240">
        <v>1.6</v>
      </c>
      <c r="L32" s="297">
        <f t="shared" si="0"/>
        <v>17.649140049140051</v>
      </c>
      <c r="M32" s="143">
        <v>25</v>
      </c>
      <c r="N32" s="140">
        <f t="shared" si="1"/>
        <v>4.4122850122850128</v>
      </c>
      <c r="O32" s="255"/>
      <c r="R32" s="74" t="s">
        <v>542</v>
      </c>
      <c r="S32" s="245">
        <f>FOODEM*0.11</f>
        <v>176</v>
      </c>
      <c r="T32" s="140" t="s">
        <v>513</v>
      </c>
      <c r="AB32" s="148" t="s">
        <v>492</v>
      </c>
      <c r="AC32" s="140">
        <v>49</v>
      </c>
      <c r="AD32" s="298">
        <f t="shared" si="2"/>
        <v>4.0131040131040132</v>
      </c>
      <c r="AE32" s="140">
        <v>3</v>
      </c>
      <c r="AF32" s="140">
        <f t="shared" si="3"/>
        <v>147</v>
      </c>
      <c r="AG32" s="299">
        <f t="shared" si="4"/>
        <v>12.039312039312041</v>
      </c>
    </row>
    <row r="33" spans="2:34" ht="15.75" x14ac:dyDescent="0.25">
      <c r="B33" s="295" t="s">
        <v>493</v>
      </c>
      <c r="C33" s="296">
        <v>22.522522522522522</v>
      </c>
      <c r="D33" s="95">
        <f t="shared" si="5"/>
        <v>22.522522522522522</v>
      </c>
      <c r="E33" s="120"/>
      <c r="F33" s="152"/>
      <c r="G33" s="152"/>
      <c r="H33" s="152"/>
      <c r="I33" s="240">
        <v>1.4</v>
      </c>
      <c r="L33" s="297">
        <f t="shared" si="0"/>
        <v>212.34121621621622</v>
      </c>
      <c r="M33" s="143">
        <v>40</v>
      </c>
      <c r="N33" s="140">
        <f t="shared" si="1"/>
        <v>84.936486486486487</v>
      </c>
      <c r="O33" s="255"/>
      <c r="S33" s="149" t="e">
        <f>SUM(S30:S32)</f>
        <v>#REF!</v>
      </c>
      <c r="T33" s="140" t="s">
        <v>752</v>
      </c>
      <c r="AB33" s="148" t="s">
        <v>500</v>
      </c>
      <c r="AC33" s="140">
        <v>20</v>
      </c>
      <c r="AD33" s="298">
        <f t="shared" si="2"/>
        <v>1.638001638001638</v>
      </c>
      <c r="AE33" s="140">
        <v>1.6</v>
      </c>
      <c r="AF33" s="140">
        <f t="shared" si="3"/>
        <v>32</v>
      </c>
      <c r="AG33" s="299">
        <f t="shared" si="4"/>
        <v>2.6208026208026212</v>
      </c>
    </row>
    <row r="34" spans="2:34" ht="15.75" x14ac:dyDescent="0.25">
      <c r="B34" s="295" t="s">
        <v>494</v>
      </c>
      <c r="C34" s="296">
        <v>7.0434070434070435</v>
      </c>
      <c r="D34" s="95">
        <f t="shared" si="5"/>
        <v>7.0434070434070435</v>
      </c>
      <c r="E34" s="120"/>
      <c r="F34" s="152"/>
      <c r="G34" s="152"/>
      <c r="H34" s="152"/>
      <c r="I34" s="240">
        <v>0.6</v>
      </c>
      <c r="L34" s="297">
        <f t="shared" si="0"/>
        <v>28.459238329238332</v>
      </c>
      <c r="M34" s="143">
        <v>40</v>
      </c>
      <c r="N34" s="140">
        <f t="shared" si="1"/>
        <v>11.383695331695332</v>
      </c>
      <c r="O34" s="255"/>
      <c r="AB34" s="148" t="s">
        <v>493</v>
      </c>
      <c r="AC34" s="140">
        <v>275</v>
      </c>
      <c r="AD34" s="298">
        <f t="shared" si="2"/>
        <v>22.522522522522522</v>
      </c>
      <c r="AE34" s="140">
        <v>1.4</v>
      </c>
      <c r="AF34" s="140">
        <f t="shared" si="3"/>
        <v>385</v>
      </c>
      <c r="AG34" s="299">
        <f t="shared" si="4"/>
        <v>31.531531531531527</v>
      </c>
    </row>
    <row r="35" spans="2:34" ht="15.75" x14ac:dyDescent="0.25">
      <c r="B35" s="295" t="s">
        <v>495</v>
      </c>
      <c r="C35" s="296">
        <v>10.647010647010648</v>
      </c>
      <c r="D35" s="95">
        <f t="shared" si="5"/>
        <v>10.647010647010648</v>
      </c>
      <c r="E35" s="120"/>
      <c r="F35" s="152"/>
      <c r="G35" s="152"/>
      <c r="H35" s="152"/>
      <c r="I35" s="240">
        <v>1.5</v>
      </c>
      <c r="L35" s="297">
        <f t="shared" si="0"/>
        <v>107.54944717444717</v>
      </c>
      <c r="M35" s="143">
        <v>20</v>
      </c>
      <c r="N35" s="140">
        <f t="shared" si="1"/>
        <v>21.509889434889434</v>
      </c>
      <c r="O35" s="255"/>
      <c r="S35" s="94" t="e">
        <f>(PREFARM-((GCO*0.7)/PEOPLE)*FARMPROP)*EXP(0.12*OCCNORM)</f>
        <v>#REF!</v>
      </c>
      <c r="T35" s="97" t="s">
        <v>528</v>
      </c>
      <c r="AB35" s="148" t="s">
        <v>494</v>
      </c>
      <c r="AC35" s="140">
        <v>86</v>
      </c>
      <c r="AD35" s="298">
        <f t="shared" si="2"/>
        <v>7.0434070434070435</v>
      </c>
      <c r="AE35" s="140">
        <v>0.5</v>
      </c>
      <c r="AF35" s="140">
        <f t="shared" si="3"/>
        <v>43</v>
      </c>
      <c r="AG35" s="299">
        <f t="shared" si="4"/>
        <v>3.5217035217035217</v>
      </c>
    </row>
    <row r="36" spans="2:34" ht="15.75" x14ac:dyDescent="0.25">
      <c r="B36" s="295" t="s">
        <v>496</v>
      </c>
      <c r="C36" s="296">
        <v>4.9140049140049138</v>
      </c>
      <c r="D36" s="95">
        <f t="shared" si="5"/>
        <v>4.9140049140049138</v>
      </c>
      <c r="E36" s="120"/>
      <c r="F36" s="152"/>
      <c r="G36" s="152"/>
      <c r="H36" s="152"/>
      <c r="I36" s="240">
        <v>0.92</v>
      </c>
      <c r="L36" s="297">
        <f t="shared" si="0"/>
        <v>30.444766584766583</v>
      </c>
      <c r="M36" s="143">
        <v>75</v>
      </c>
      <c r="N36" s="140">
        <f t="shared" si="1"/>
        <v>22.833574938574937</v>
      </c>
      <c r="O36" s="255"/>
      <c r="S36" s="94" t="e">
        <f>((PREPROC*RCO*LCO*OCO)-((GCO*0.7*(1-FARMPROP)/PEOPLE))*EXP(0.12*OCCNORM))</f>
        <v>#REF!</v>
      </c>
      <c r="T36" s="97" t="s">
        <v>529</v>
      </c>
      <c r="AB36" s="148" t="s">
        <v>495</v>
      </c>
      <c r="AC36" s="140">
        <v>130</v>
      </c>
      <c r="AD36" s="298">
        <f t="shared" si="2"/>
        <v>10.647010647010648</v>
      </c>
      <c r="AE36" s="140">
        <v>1.5</v>
      </c>
      <c r="AF36" s="140">
        <f t="shared" si="3"/>
        <v>195</v>
      </c>
      <c r="AG36" s="299">
        <f t="shared" si="4"/>
        <v>15.970515970515972</v>
      </c>
    </row>
    <row r="37" spans="2:34" ht="15.75" x14ac:dyDescent="0.25">
      <c r="B37" s="295" t="s">
        <v>1121</v>
      </c>
      <c r="C37" s="296">
        <v>4.0950040950040947</v>
      </c>
      <c r="D37" s="95">
        <f t="shared" si="5"/>
        <v>4.0950040950040947</v>
      </c>
      <c r="E37" s="120"/>
      <c r="F37" s="152"/>
      <c r="G37" s="152"/>
      <c r="H37" s="152"/>
      <c r="I37" s="240">
        <v>1.8</v>
      </c>
      <c r="L37" s="297">
        <f t="shared" si="0"/>
        <v>49.638206388206399</v>
      </c>
      <c r="M37" s="143">
        <v>75</v>
      </c>
      <c r="N37" s="140">
        <f t="shared" si="1"/>
        <v>37.228654791154803</v>
      </c>
      <c r="O37" s="255"/>
      <c r="S37" s="94">
        <f>PREWASTE*WCO*EXP(0.12*OCCNORM)</f>
        <v>149.6</v>
      </c>
      <c r="T37" s="97" t="s">
        <v>530</v>
      </c>
      <c r="AB37" s="148" t="s">
        <v>496</v>
      </c>
      <c r="AC37" s="140">
        <v>60</v>
      </c>
      <c r="AD37" s="298">
        <f t="shared" si="2"/>
        <v>4.9140049140049138</v>
      </c>
      <c r="AE37" s="140">
        <v>0.92</v>
      </c>
      <c r="AF37" s="140">
        <f t="shared" si="3"/>
        <v>55.2</v>
      </c>
      <c r="AG37" s="299">
        <f t="shared" si="4"/>
        <v>4.520884520884521</v>
      </c>
    </row>
    <row r="38" spans="2:34" ht="15.75" x14ac:dyDescent="0.25">
      <c r="B38" s="295" t="s">
        <v>498</v>
      </c>
      <c r="C38" s="296">
        <v>5.7330057330057329</v>
      </c>
      <c r="D38" s="95">
        <f t="shared" si="5"/>
        <v>5.7330057330057329</v>
      </c>
      <c r="E38" s="120"/>
      <c r="F38" s="152"/>
      <c r="G38" s="152"/>
      <c r="H38" s="152"/>
      <c r="I38" s="240">
        <v>0.8</v>
      </c>
      <c r="L38" s="297">
        <f t="shared" si="0"/>
        <v>30.885995085995091</v>
      </c>
      <c r="M38" s="143">
        <v>40</v>
      </c>
      <c r="N38" s="140">
        <f t="shared" si="1"/>
        <v>12.354398034398036</v>
      </c>
      <c r="O38" s="255"/>
      <c r="AB38" s="148" t="s">
        <v>497</v>
      </c>
      <c r="AC38" s="140">
        <v>50</v>
      </c>
      <c r="AD38" s="298">
        <f t="shared" si="2"/>
        <v>4.0950040950040947</v>
      </c>
      <c r="AE38" s="140">
        <v>1.8</v>
      </c>
      <c r="AF38" s="140">
        <f t="shared" si="3"/>
        <v>90</v>
      </c>
      <c r="AG38" s="299">
        <f t="shared" si="4"/>
        <v>7.3710073710073702</v>
      </c>
    </row>
    <row r="39" spans="2:34" ht="15.75" x14ac:dyDescent="0.25">
      <c r="B39" s="295" t="s">
        <v>1120</v>
      </c>
      <c r="C39" s="296">
        <v>6.2244062244062244</v>
      </c>
      <c r="D39" s="95">
        <f t="shared" si="5"/>
        <v>6.2244062244062244</v>
      </c>
      <c r="E39" s="120"/>
      <c r="F39" s="152"/>
      <c r="G39" s="152"/>
      <c r="H39" s="152"/>
      <c r="I39" s="240">
        <v>5</v>
      </c>
      <c r="L39" s="297">
        <f t="shared" si="0"/>
        <v>209.58353808353806</v>
      </c>
      <c r="M39" s="143">
        <v>75</v>
      </c>
      <c r="N39" s="140">
        <f t="shared" si="1"/>
        <v>157.18765356265354</v>
      </c>
      <c r="O39" s="255"/>
      <c r="S39" s="149" t="e">
        <f>SUM(S35:S38)</f>
        <v>#REF!</v>
      </c>
      <c r="AB39" s="148" t="s">
        <v>498</v>
      </c>
      <c r="AC39" s="140">
        <v>70</v>
      </c>
      <c r="AD39" s="298">
        <f t="shared" si="2"/>
        <v>5.7330057330057329</v>
      </c>
      <c r="AE39" s="140">
        <v>0.8</v>
      </c>
      <c r="AF39" s="140">
        <f t="shared" si="3"/>
        <v>56</v>
      </c>
      <c r="AG39" s="299">
        <f t="shared" si="4"/>
        <v>4.5864045864045861</v>
      </c>
    </row>
    <row r="40" spans="2:34" x14ac:dyDescent="0.25">
      <c r="B40" s="295"/>
      <c r="C40" s="152"/>
      <c r="D40" s="152"/>
      <c r="E40" s="152"/>
      <c r="F40" s="152"/>
      <c r="G40" s="152"/>
      <c r="H40" s="152"/>
      <c r="L40" s="297">
        <f>SUM(L28:L39)</f>
        <v>2551.9387979115477</v>
      </c>
      <c r="O40" s="255"/>
      <c r="S40" s="140" t="s">
        <v>546</v>
      </c>
      <c r="AB40" s="148" t="s">
        <v>499</v>
      </c>
      <c r="AC40" s="140">
        <v>76</v>
      </c>
      <c r="AD40" s="298">
        <f t="shared" si="2"/>
        <v>6.2244062244062244</v>
      </c>
      <c r="AE40" s="140">
        <v>5</v>
      </c>
      <c r="AF40" s="140">
        <f t="shared" si="3"/>
        <v>380</v>
      </c>
      <c r="AG40" s="299">
        <f t="shared" si="4"/>
        <v>31.122031122031121</v>
      </c>
    </row>
    <row r="41" spans="2:34" x14ac:dyDescent="0.25">
      <c r="B41" s="91" t="s">
        <v>757</v>
      </c>
      <c r="C41" s="300">
        <f>SUM(C28:C39)</f>
        <v>100.00000000000001</v>
      </c>
      <c r="D41" s="300">
        <f>SUM(D28:D39)</f>
        <v>99.81736281736282</v>
      </c>
      <c r="E41" s="300"/>
      <c r="F41" s="300"/>
      <c r="G41" s="152"/>
      <c r="H41" s="152"/>
      <c r="N41" s="140">
        <f>SUM(N28:N40)</f>
        <v>1558.9609500921379</v>
      </c>
      <c r="O41" s="245" t="e">
        <f>N41/#REF!</f>
        <v>#REF!</v>
      </c>
      <c r="P41" s="74" t="s">
        <v>750</v>
      </c>
      <c r="S41" s="140" t="s">
        <v>1030</v>
      </c>
      <c r="AB41" s="148"/>
      <c r="AC41" s="140">
        <f>SUM(AC29:AC40)</f>
        <v>1221</v>
      </c>
      <c r="AD41" s="149">
        <f>SUM(AD29:AD40)</f>
        <v>100.00000000000001</v>
      </c>
      <c r="AF41" s="140">
        <f>SUM(AF29:AF40)</f>
        <v>4928.2</v>
      </c>
      <c r="AG41" s="299">
        <f>SUM(AG29:AG40)</f>
        <v>403.61998361998354</v>
      </c>
    </row>
    <row r="42" spans="2:34" x14ac:dyDescent="0.25">
      <c r="B42" s="109" t="s">
        <v>1110</v>
      </c>
      <c r="C42" s="152"/>
      <c r="D42" s="152"/>
      <c r="E42" s="152"/>
      <c r="F42" s="152"/>
      <c r="G42" s="152"/>
      <c r="H42" s="152"/>
      <c r="AB42" s="148"/>
      <c r="AC42" s="140" t="s">
        <v>501</v>
      </c>
      <c r="AG42" s="140">
        <f>AG41*138*365/2.69</f>
        <v>7557746.6821332974</v>
      </c>
      <c r="AH42" s="299"/>
    </row>
    <row r="43" spans="2:34" x14ac:dyDescent="0.25">
      <c r="B43" s="109" t="s">
        <v>1111</v>
      </c>
      <c r="C43" s="152"/>
      <c r="D43" s="152"/>
      <c r="E43" s="152"/>
      <c r="F43" s="152"/>
      <c r="G43" s="152"/>
      <c r="H43" s="152"/>
      <c r="AB43" s="148"/>
      <c r="AH43" s="299"/>
    </row>
    <row r="44" spans="2:34" x14ac:dyDescent="0.25">
      <c r="B44" s="295"/>
      <c r="C44" s="152"/>
      <c r="D44" s="152"/>
      <c r="E44" s="152"/>
      <c r="F44" s="152"/>
      <c r="G44" s="152"/>
      <c r="H44" s="152"/>
      <c r="AB44" s="148"/>
      <c r="AC44" s="140" t="s">
        <v>502</v>
      </c>
      <c r="AF44" s="140">
        <f>AF41*365*1.25*1.25</f>
        <v>2810614.0625</v>
      </c>
    </row>
    <row r="45" spans="2:34" ht="15.75" x14ac:dyDescent="0.25">
      <c r="B45" s="92" t="s">
        <v>758</v>
      </c>
      <c r="C45" s="152"/>
      <c r="D45" s="257"/>
      <c r="E45" s="257"/>
      <c r="F45" s="152"/>
      <c r="G45" s="152"/>
      <c r="H45" s="152"/>
      <c r="AB45" s="148"/>
      <c r="AC45" s="140" t="s">
        <v>503</v>
      </c>
      <c r="AF45" s="140">
        <f>AF44/1000000</f>
        <v>2.8106140625</v>
      </c>
    </row>
    <row r="46" spans="2:34" x14ac:dyDescent="0.25">
      <c r="B46" s="152" t="s">
        <v>759</v>
      </c>
      <c r="C46" s="152"/>
      <c r="D46" s="152"/>
      <c r="E46" s="152"/>
      <c r="F46" s="152"/>
      <c r="G46" s="152"/>
      <c r="H46" s="152"/>
    </row>
    <row r="47" spans="2:34" x14ac:dyDescent="0.25">
      <c r="B47" s="152"/>
      <c r="C47" s="152"/>
      <c r="D47" s="152"/>
      <c r="E47" s="152"/>
      <c r="F47" s="152"/>
      <c r="G47" s="152"/>
      <c r="H47" s="152"/>
      <c r="L47" s="143" t="s">
        <v>524</v>
      </c>
      <c r="M47" s="143" t="s">
        <v>527</v>
      </c>
      <c r="O47" s="255"/>
      <c r="V47" s="148"/>
      <c r="AC47" s="140" t="s">
        <v>549</v>
      </c>
    </row>
    <row r="48" spans="2:34" x14ac:dyDescent="0.25">
      <c r="E48" s="81"/>
      <c r="F48" s="152"/>
      <c r="G48" s="152"/>
      <c r="H48" s="152"/>
      <c r="L48" s="143" t="s">
        <v>525</v>
      </c>
      <c r="M48" s="143" t="s">
        <v>526</v>
      </c>
      <c r="N48" s="140" t="s">
        <v>516</v>
      </c>
      <c r="O48" s="255" t="s">
        <v>517</v>
      </c>
      <c r="V48" s="148"/>
      <c r="AC48" s="140">
        <f>AG41/AG42</f>
        <v>5.3404804447091527E-5</v>
      </c>
      <c r="AD48" s="140" t="s">
        <v>137</v>
      </c>
    </row>
    <row r="49" spans="2:30" x14ac:dyDescent="0.25">
      <c r="E49" s="81"/>
      <c r="F49" s="152"/>
      <c r="G49" s="152"/>
      <c r="H49" s="152"/>
      <c r="L49" s="143">
        <v>0.8</v>
      </c>
      <c r="M49" s="143">
        <v>1</v>
      </c>
      <c r="N49" s="140">
        <v>1.05</v>
      </c>
      <c r="O49" s="255">
        <v>1.1000000000000001</v>
      </c>
      <c r="Q49" s="74" t="s">
        <v>536</v>
      </c>
      <c r="R49" s="140" t="s">
        <v>531</v>
      </c>
      <c r="AC49" s="140">
        <v>1</v>
      </c>
      <c r="AD49" s="140" t="s">
        <v>505</v>
      </c>
    </row>
    <row r="50" spans="2:30" x14ac:dyDescent="0.25">
      <c r="E50" s="81"/>
      <c r="F50" s="152"/>
      <c r="G50" s="152"/>
      <c r="H50" s="152"/>
      <c r="L50" s="143">
        <v>1.1000000000000001</v>
      </c>
      <c r="M50" s="143">
        <v>1.05</v>
      </c>
      <c r="N50" s="140">
        <v>0.98</v>
      </c>
      <c r="O50" s="255">
        <v>0.8</v>
      </c>
      <c r="Q50" s="74" t="s">
        <v>1399</v>
      </c>
      <c r="R50" s="140" t="s">
        <v>531</v>
      </c>
      <c r="AC50" s="140">
        <v>0.79</v>
      </c>
      <c r="AD50" s="140" t="s">
        <v>506</v>
      </c>
    </row>
    <row r="51" spans="2:30" x14ac:dyDescent="0.25">
      <c r="E51" s="81"/>
      <c r="F51" s="152"/>
      <c r="G51" s="152"/>
      <c r="H51" s="152"/>
      <c r="L51" s="143">
        <v>0.95</v>
      </c>
      <c r="M51" s="143">
        <v>1</v>
      </c>
      <c r="N51" s="140">
        <v>1.05</v>
      </c>
      <c r="O51" s="255">
        <v>1.2</v>
      </c>
      <c r="Q51" s="74" t="s">
        <v>539</v>
      </c>
      <c r="R51" s="140" t="s">
        <v>531</v>
      </c>
      <c r="AC51" s="140">
        <v>3.32</v>
      </c>
      <c r="AD51" s="140" t="s">
        <v>507</v>
      </c>
    </row>
    <row r="52" spans="2:30" x14ac:dyDescent="0.25">
      <c r="E52" s="81"/>
      <c r="F52" s="152"/>
      <c r="G52" s="152"/>
      <c r="H52" s="152"/>
      <c r="L52" s="143">
        <v>0.7</v>
      </c>
      <c r="M52" s="143">
        <v>0.95</v>
      </c>
      <c r="N52" s="140">
        <v>1.05</v>
      </c>
      <c r="O52" s="255">
        <v>1.2</v>
      </c>
      <c r="Q52" s="74" t="s">
        <v>538</v>
      </c>
      <c r="R52" s="140" t="s">
        <v>532</v>
      </c>
      <c r="AC52" s="140">
        <v>1.72</v>
      </c>
      <c r="AD52" s="140" t="s">
        <v>508</v>
      </c>
    </row>
    <row r="53" spans="2:30" x14ac:dyDescent="0.25">
      <c r="E53" s="152"/>
      <c r="F53" s="152"/>
      <c r="G53" s="152"/>
      <c r="H53" s="152"/>
      <c r="L53" s="143">
        <v>0.95</v>
      </c>
      <c r="M53" s="143">
        <v>1</v>
      </c>
      <c r="N53" s="140">
        <v>1.05</v>
      </c>
      <c r="O53" s="255">
        <v>1.1499999999999999</v>
      </c>
      <c r="Q53" s="74" t="s">
        <v>537</v>
      </c>
      <c r="R53" s="140" t="s">
        <v>533</v>
      </c>
      <c r="AC53" s="140">
        <v>1.264</v>
      </c>
      <c r="AD53" s="140" t="s">
        <v>509</v>
      </c>
    </row>
    <row r="54" spans="2:30" x14ac:dyDescent="0.25">
      <c r="E54" s="152"/>
      <c r="F54" s="152"/>
      <c r="G54" s="152"/>
      <c r="H54" s="152"/>
      <c r="L54" s="143">
        <v>0.98</v>
      </c>
      <c r="M54" s="143">
        <v>1</v>
      </c>
      <c r="N54" s="140">
        <v>1.02</v>
      </c>
      <c r="O54" s="255">
        <v>1.05</v>
      </c>
      <c r="Q54" s="74" t="s">
        <v>1400</v>
      </c>
      <c r="AC54" s="140">
        <v>1.42</v>
      </c>
      <c r="AD54" s="140" t="s">
        <v>510</v>
      </c>
    </row>
    <row r="55" spans="2:30" x14ac:dyDescent="0.25">
      <c r="L55" s="143">
        <v>0</v>
      </c>
      <c r="M55" s="143">
        <v>10</v>
      </c>
      <c r="N55" s="140">
        <v>100</v>
      </c>
      <c r="O55" s="255">
        <v>500</v>
      </c>
      <c r="Q55" s="74" t="s">
        <v>1401</v>
      </c>
      <c r="AC55" s="140">
        <v>0.91</v>
      </c>
      <c r="AD55" s="140" t="s">
        <v>511</v>
      </c>
    </row>
    <row r="56" spans="2:30" x14ac:dyDescent="0.25">
      <c r="C56" s="301"/>
      <c r="AC56" s="140">
        <v>3.36</v>
      </c>
      <c r="AD56" s="140" t="s">
        <v>512</v>
      </c>
    </row>
    <row r="58" spans="2:30" x14ac:dyDescent="0.25">
      <c r="B58" s="148" t="s">
        <v>1162</v>
      </c>
    </row>
    <row r="59" spans="2:30" x14ac:dyDescent="0.25">
      <c r="L59" s="282" t="s">
        <v>1205</v>
      </c>
      <c r="M59" s="140"/>
    </row>
    <row r="60" spans="2:30" x14ac:dyDescent="0.25">
      <c r="B60" s="294"/>
      <c r="L60" s="282" t="s">
        <v>1384</v>
      </c>
      <c r="M60" s="140"/>
    </row>
    <row r="61" spans="2:30" x14ac:dyDescent="0.25">
      <c r="B61" s="294"/>
      <c r="L61" s="282" t="s">
        <v>1385</v>
      </c>
      <c r="M61" s="140"/>
    </row>
    <row r="62" spans="2:30" x14ac:dyDescent="0.25">
      <c r="L62" s="282" t="s">
        <v>1386</v>
      </c>
      <c r="M62" s="140"/>
    </row>
    <row r="63" spans="2:30" x14ac:dyDescent="0.25">
      <c r="L63" s="282" t="s">
        <v>1206</v>
      </c>
      <c r="M63" s="140"/>
    </row>
    <row r="64" spans="2:30" x14ac:dyDescent="0.25">
      <c r="L64" s="282" t="s">
        <v>1207</v>
      </c>
      <c r="M64" s="140"/>
    </row>
    <row r="65" spans="12:13" x14ac:dyDescent="0.25">
      <c r="L65" s="282" t="s">
        <v>1395</v>
      </c>
      <c r="M65" s="140"/>
    </row>
    <row r="66" spans="12:13" x14ac:dyDescent="0.25">
      <c r="L66" s="282" t="s">
        <v>1394</v>
      </c>
      <c r="M66" s="140"/>
    </row>
  </sheetData>
  <mergeCells count="8">
    <mergeCell ref="E10:F10"/>
    <mergeCell ref="E11:F11"/>
    <mergeCell ref="E12:F12"/>
    <mergeCell ref="B4:E4"/>
    <mergeCell ref="E6:F6"/>
    <mergeCell ref="E7:F7"/>
    <mergeCell ref="E8:F8"/>
    <mergeCell ref="E9:F9"/>
  </mergeCells>
  <dataValidations count="2">
    <dataValidation type="list" allowBlank="1" showInputMessage="1" showErrorMessage="1" sqref="B4">
      <formula1>$L$59:$L$66</formula1>
    </dataValidation>
    <dataValidation type="list" allowBlank="1" showInputMessage="1" showErrorMessage="1" sqref="D6:D12">
      <formula1>FOODFR</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238</vt:i4>
      </vt:variant>
    </vt:vector>
  </HeadingPairs>
  <TitlesOfParts>
    <vt:vector size="265" baseType="lpstr">
      <vt:lpstr>Intro</vt:lpstr>
      <vt:lpstr>Average</vt:lpstr>
      <vt:lpstr>...</vt:lpstr>
      <vt:lpstr>Space Heating</vt:lpstr>
      <vt:lpstr>Water Heating</vt:lpstr>
      <vt:lpstr>Appliances</vt:lpstr>
      <vt:lpstr>Travel</vt:lpstr>
      <vt:lpstr>Flying</vt:lpstr>
      <vt:lpstr>Food</vt:lpstr>
      <vt:lpstr>Goods</vt:lpstr>
      <vt:lpstr>Your Elephant</vt:lpstr>
      <vt:lpstr>Next</vt:lpstr>
      <vt:lpstr>Steps</vt:lpstr>
      <vt:lpstr>REFS</vt:lpstr>
      <vt:lpstr>NAMES &amp; VALUES</vt:lpstr>
      <vt:lpstr>NOTES</vt:lpstr>
      <vt:lpstr>G&amp;S</vt:lpstr>
      <vt:lpstr>OVERVIEW</vt:lpstr>
      <vt:lpstr>Sheet1</vt:lpstr>
      <vt:lpstr>Sheet2</vt:lpstr>
      <vt:lpstr>Sheet3</vt:lpstr>
      <vt:lpstr>INCOME Elasticities</vt:lpstr>
      <vt:lpstr>Income el formulae</vt:lpstr>
      <vt:lpstr>Dwelling size</vt:lpstr>
      <vt:lpstr>Occupancy formulae</vt:lpstr>
      <vt:lpstr>AMENDMENT</vt:lpstr>
      <vt:lpstr>TRAVCALCS</vt:lpstr>
      <vt:lpstr>ACCEPT</vt:lpstr>
      <vt:lpstr>ALLGANDSPERCAP</vt:lpstr>
      <vt:lpstr>ALWAYS</vt:lpstr>
      <vt:lpstr>APPERCAP</vt:lpstr>
      <vt:lpstr>APPERHH</vt:lpstr>
      <vt:lpstr>APPSIZE</vt:lpstr>
      <vt:lpstr>AREAFAC</vt:lpstr>
      <vt:lpstr>AUS</vt:lpstr>
      <vt:lpstr>AVAREA</vt:lpstr>
      <vt:lpstr>AVEMFACTOR</vt:lpstr>
      <vt:lpstr>AVFL</vt:lpstr>
      <vt:lpstr>AVFO</vt:lpstr>
      <vt:lpstr>AVGS</vt:lpstr>
      <vt:lpstr>AVHE</vt:lpstr>
      <vt:lpstr>AVHH</vt:lpstr>
      <vt:lpstr>AVHYG</vt:lpstr>
      <vt:lpstr>AVKITCH</vt:lpstr>
      <vt:lpstr>AVMILES</vt:lpstr>
      <vt:lpstr>AVMULTLIST</vt:lpstr>
      <vt:lpstr>AVPUB</vt:lpstr>
      <vt:lpstr>AVROOM</vt:lpstr>
      <vt:lpstr>AVTR</vt:lpstr>
      <vt:lpstr>BDRNO</vt:lpstr>
      <vt:lpstr>BIKE</vt:lpstr>
      <vt:lpstr>BIKEM</vt:lpstr>
      <vt:lpstr>BSPERCAP</vt:lpstr>
      <vt:lpstr>BSTOT</vt:lpstr>
      <vt:lpstr>BUSCO</vt:lpstr>
      <vt:lpstr>BUSVAL1</vt:lpstr>
      <vt:lpstr>CAKE</vt:lpstr>
      <vt:lpstr>CARMILES</vt:lpstr>
      <vt:lpstr>CARSIZE</vt:lpstr>
      <vt:lpstr>CARTYPE</vt:lpstr>
      <vt:lpstr>CCEM</vt:lpstr>
      <vt:lpstr>CCO</vt:lpstr>
      <vt:lpstr>CHA</vt:lpstr>
      <vt:lpstr>CHUCK</vt:lpstr>
      <vt:lpstr>clodry</vt:lpstr>
      <vt:lpstr>CMEAT</vt:lpstr>
      <vt:lpstr>CMEAT2</vt:lpstr>
      <vt:lpstr>CMEAT3</vt:lpstr>
      <vt:lpstr>CONT</vt:lpstr>
      <vt:lpstr>CONTCOEF</vt:lpstr>
      <vt:lpstr>CONTROLS</vt:lpstr>
      <vt:lpstr>CRAP</vt:lpstr>
      <vt:lpstr>CRED</vt:lpstr>
      <vt:lpstr>CRED1</vt:lpstr>
      <vt:lpstr>CRED2</vt:lpstr>
      <vt:lpstr>CRED3</vt:lpstr>
      <vt:lpstr>DAGE</vt:lpstr>
      <vt:lpstr>DECARB</vt:lpstr>
      <vt:lpstr>DECARBW</vt:lpstr>
      <vt:lpstr>DIET</vt:lpstr>
      <vt:lpstr>DP</vt:lpstr>
      <vt:lpstr>DPCOEF</vt:lpstr>
      <vt:lpstr>DRPRF</vt:lpstr>
      <vt:lpstr>DRY</vt:lpstr>
      <vt:lpstr>DTYPE</vt:lpstr>
      <vt:lpstr>DWA</vt:lpstr>
      <vt:lpstr>DWACOEF</vt:lpstr>
      <vt:lpstr>DWT</vt:lpstr>
      <vt:lpstr>DWTCOEF</vt:lpstr>
      <vt:lpstr>EFF</vt:lpstr>
      <vt:lpstr>effval</vt:lpstr>
      <vt:lpstr>ES</vt:lpstr>
      <vt:lpstr>ETH</vt:lpstr>
      <vt:lpstr>ETH_1</vt:lpstr>
      <vt:lpstr>ETH_2</vt:lpstr>
      <vt:lpstr>ETH_3</vt:lpstr>
      <vt:lpstr>FARM</vt:lpstr>
      <vt:lpstr>FARMPERCAP</vt:lpstr>
      <vt:lpstr>FARMPROP</vt:lpstr>
      <vt:lpstr>FEAST</vt:lpstr>
      <vt:lpstr>FLYEMPERCAP</vt:lpstr>
      <vt:lpstr>FLYFACTOR</vt:lpstr>
      <vt:lpstr>FLYTOT</vt:lpstr>
      <vt:lpstr>FOODCO</vt:lpstr>
      <vt:lpstr>FOODEM</vt:lpstr>
      <vt:lpstr>FOODFR</vt:lpstr>
      <vt:lpstr>FOODPERCAP</vt:lpstr>
      <vt:lpstr>FOODVAL1</vt:lpstr>
      <vt:lpstr>FREE</vt:lpstr>
      <vt:lpstr>GCO</vt:lpstr>
      <vt:lpstr>GEL</vt:lpstr>
      <vt:lpstr>GELVAL</vt:lpstr>
      <vt:lpstr>GFAC</vt:lpstr>
      <vt:lpstr>GLUT</vt:lpstr>
      <vt:lpstr>GOO</vt:lpstr>
      <vt:lpstr>GOODSCO</vt:lpstr>
      <vt:lpstr>GOODSPERCAP</vt:lpstr>
      <vt:lpstr>GOODSTOT</vt:lpstr>
      <vt:lpstr>GOODSVAL1</vt:lpstr>
      <vt:lpstr>GYO</vt:lpstr>
      <vt:lpstr>HC</vt:lpstr>
      <vt:lpstr>HCCOEF</vt:lpstr>
      <vt:lpstr>HECO</vt:lpstr>
      <vt:lpstr>HEPERCAP</vt:lpstr>
      <vt:lpstr>HEVAL1</vt:lpstr>
      <vt:lpstr>HHSH</vt:lpstr>
      <vt:lpstr>HHTRAFUELS</vt:lpstr>
      <vt:lpstr>HYG</vt:lpstr>
      <vt:lpstr>INC</vt:lpstr>
      <vt:lpstr>INCEM</vt:lpstr>
      <vt:lpstr>INCOME</vt:lpstr>
      <vt:lpstr>INCSCORE</vt:lpstr>
      <vt:lpstr>INS</vt:lpstr>
      <vt:lpstr>INSCOEF</vt:lpstr>
      <vt:lpstr>INSTANT</vt:lpstr>
      <vt:lpstr>INSUL</vt:lpstr>
      <vt:lpstr>INV</vt:lpstr>
      <vt:lpstr>KITCH</vt:lpstr>
      <vt:lpstr>LIFTEM</vt:lpstr>
      <vt:lpstr>LONGHOURS</vt:lpstr>
      <vt:lpstr>MCC</vt:lpstr>
      <vt:lpstr>MCOEFF1</vt:lpstr>
      <vt:lpstr>MCOEFF2</vt:lpstr>
      <vt:lpstr>MCOEFF3</vt:lpstr>
      <vt:lpstr>MENA</vt:lpstr>
      <vt:lpstr>MILES1</vt:lpstr>
      <vt:lpstr>MILES2</vt:lpstr>
      <vt:lpstr>MILES3</vt:lpstr>
      <vt:lpstr>MILESCC</vt:lpstr>
      <vt:lpstr>MILESLIFT</vt:lpstr>
      <vt:lpstr>MLIFT</vt:lpstr>
      <vt:lpstr>mult2</vt:lpstr>
      <vt:lpstr>MULTIPLIER</vt:lpstr>
      <vt:lpstr>NEGVAL</vt:lpstr>
      <vt:lpstr>NFOODEM</vt:lpstr>
      <vt:lpstr>NWEU</vt:lpstr>
      <vt:lpstr>OCCNORM</vt:lpstr>
      <vt:lpstr>OCCSCORE</vt:lpstr>
      <vt:lpstr>OCO</vt:lpstr>
      <vt:lpstr>OFFSET</vt:lpstr>
      <vt:lpstr>OUT</vt:lpstr>
      <vt:lpstr>PANDM2</vt:lpstr>
      <vt:lpstr>PEOPLE</vt:lpstr>
      <vt:lpstr>PFP</vt:lpstr>
      <vt:lpstr>PHONE</vt:lpstr>
      <vt:lpstr>POWERSH</vt:lpstr>
      <vt:lpstr>PREFARM</vt:lpstr>
      <vt:lpstr>PREFOOD</vt:lpstr>
      <vt:lpstr>PREP</vt:lpstr>
      <vt:lpstr>PREPROC</vt:lpstr>
      <vt:lpstr>PREWASTE</vt:lpstr>
      <vt:lpstr>Travel!Print_Area</vt:lpstr>
      <vt:lpstr>PROC</vt:lpstr>
      <vt:lpstr>PUBCO</vt:lpstr>
      <vt:lpstr>PUBT</vt:lpstr>
      <vt:lpstr>PUBT2</vt:lpstr>
      <vt:lpstr>PUBTRHOURS</vt:lpstr>
      <vt:lpstr>PUBVAL1</vt:lpstr>
      <vt:lpstr>PURCHMAINT</vt:lpstr>
      <vt:lpstr>PV</vt:lpstr>
      <vt:lpstr>PVVAL</vt:lpstr>
      <vt:lpstr>qual</vt:lpstr>
      <vt:lpstr>QUAL1</vt:lpstr>
      <vt:lpstr>QUAL2</vt:lpstr>
      <vt:lpstr>QUAL3</vt:lpstr>
      <vt:lpstr>RATING</vt:lpstr>
      <vt:lpstr>RCO</vt:lpstr>
      <vt:lpstr>READY</vt:lpstr>
      <vt:lpstr>REC</vt:lpstr>
      <vt:lpstr>RECYC</vt:lpstr>
      <vt:lpstr>RECYC1</vt:lpstr>
      <vt:lpstr>RECYC2</vt:lpstr>
      <vt:lpstr>RECYC3</vt:lpstr>
      <vt:lpstr>RED</vt:lpstr>
      <vt:lpstr>REP</vt:lpstr>
      <vt:lpstr>ROOMNO</vt:lpstr>
      <vt:lpstr>S1COEFF</vt:lpstr>
      <vt:lpstr>S2COEFF</vt:lpstr>
      <vt:lpstr>S3COEFF</vt:lpstr>
      <vt:lpstr>SA</vt:lpstr>
      <vt:lpstr>SCCCOEFF</vt:lpstr>
      <vt:lpstr>SCO</vt:lpstr>
      <vt:lpstr>SEAS</vt:lpstr>
      <vt:lpstr>SEC</vt:lpstr>
      <vt:lpstr>SEEU</vt:lpstr>
      <vt:lpstr>sequ</vt:lpstr>
      <vt:lpstr>SEQUCRED</vt:lpstr>
      <vt:lpstr>SEQUESTRATIONV</vt:lpstr>
      <vt:lpstr>SER</vt:lpstr>
      <vt:lpstr>SERVCO</vt:lpstr>
      <vt:lpstr>SERVPERCAP</vt:lpstr>
      <vt:lpstr>SERVTOT</vt:lpstr>
      <vt:lpstr>SERVVAL1</vt:lpstr>
      <vt:lpstr>SHO</vt:lpstr>
      <vt:lpstr>SHOWER</vt:lpstr>
      <vt:lpstr>SHOWMIN</vt:lpstr>
      <vt:lpstr>SHOWNUM</vt:lpstr>
      <vt:lpstr>SHOWTYP</vt:lpstr>
      <vt:lpstr>SHPERCAP</vt:lpstr>
      <vt:lpstr>SIZE1</vt:lpstr>
      <vt:lpstr>SIZE2</vt:lpstr>
      <vt:lpstr>SIZE3</vt:lpstr>
      <vt:lpstr>SIZECC</vt:lpstr>
      <vt:lpstr>SIZELIFT</vt:lpstr>
      <vt:lpstr>SIZEST</vt:lpstr>
      <vt:lpstr>SLIFTCOEFF</vt:lpstr>
      <vt:lpstr>SOL</vt:lpstr>
      <vt:lpstr>SOLARW</vt:lpstr>
      <vt:lpstr>STUFF</vt:lpstr>
      <vt:lpstr>SUM</vt:lpstr>
      <vt:lpstr>swh</vt:lpstr>
      <vt:lpstr>SWOFF</vt:lpstr>
      <vt:lpstr>SWOFFVAL</vt:lpstr>
      <vt:lpstr>TCCCOEFF</vt:lpstr>
      <vt:lpstr>TCOEFF1</vt:lpstr>
      <vt:lpstr>TCOEFF2</vt:lpstr>
      <vt:lpstr>TCOEFF3</vt:lpstr>
      <vt:lpstr>TFA</vt:lpstr>
      <vt:lpstr>THERM</vt:lpstr>
      <vt:lpstr>THERMCOEF</vt:lpstr>
      <vt:lpstr>TIM</vt:lpstr>
      <vt:lpstr>TLIFTCOEFF</vt:lpstr>
      <vt:lpstr>TRAFUEL2</vt:lpstr>
      <vt:lpstr>TRAFUELS</vt:lpstr>
      <vt:lpstr>TRAV</vt:lpstr>
      <vt:lpstr>TRAVCO</vt:lpstr>
      <vt:lpstr>TRAVVAL1</vt:lpstr>
      <vt:lpstr>TUMBLE</vt:lpstr>
      <vt:lpstr>TVKIND</vt:lpstr>
      <vt:lpstr>TVSORT</vt:lpstr>
      <vt:lpstr>TYPE1</vt:lpstr>
      <vt:lpstr>TYPE2</vt:lpstr>
      <vt:lpstr>TYPE3</vt:lpstr>
      <vt:lpstr>TYPECC</vt:lpstr>
      <vt:lpstr>TYPELIFT</vt:lpstr>
      <vt:lpstr>UKO</vt:lpstr>
      <vt:lpstr>USA</vt:lpstr>
      <vt:lpstr>V1EM</vt:lpstr>
      <vt:lpstr>V2EM</vt:lpstr>
      <vt:lpstr>V3EM</vt:lpstr>
      <vt:lpstr>WASTE</vt:lpstr>
      <vt:lpstr>WCO</vt:lpstr>
      <vt:lpstr>WHITE</vt:lpstr>
      <vt:lpstr>WHPERCAP</vt:lpstr>
      <vt:lpstr>YES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Harper</dc:creator>
  <cp:lastModifiedBy>Peter Harper</cp:lastModifiedBy>
  <dcterms:created xsi:type="dcterms:W3CDTF">2013-08-18T10:38:20Z</dcterms:created>
  <dcterms:modified xsi:type="dcterms:W3CDTF">2014-10-27T17:03:29Z</dcterms:modified>
</cp:coreProperties>
</file>