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style3.xml" ContentType="application/vnd.ms-office.chartstyle+xml"/>
  <Override PartName="/xl/charts/colors3.xml" ContentType="application/vnd.ms-office.chartcolorstyle+xml"/>
  <Override PartName="/xl/charts/chart19.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defaultThemeVersion="124226"/>
  <mc:AlternateContent xmlns:mc="http://schemas.openxmlformats.org/markup-compatibility/2006">
    <mc:Choice Requires="x15">
      <x15ac:absPath xmlns:x15ac="http://schemas.microsoft.com/office/spreadsheetml/2010/11/ac" url="C:\Users\Peter\Documents\TRANSFER\COURSES\CAT Courses\Jan 2018 Module\DL MATERIALS\"/>
    </mc:Choice>
  </mc:AlternateContent>
  <bookViews>
    <workbookView xWindow="240" yWindow="615" windowWidth="12240" windowHeight="7140" activeTab="2" xr2:uid="{00000000-000D-0000-FFFF-FFFF00000000}"/>
  </bookViews>
  <sheets>
    <sheet name="LAND USE" sheetId="1" r:id="rId1"/>
    <sheet name="NOTES" sheetId="2" r:id="rId2"/>
    <sheet name="TABLES AND GRAPHS" sheetId="3" r:id="rId3"/>
  </sheets>
  <externalReferences>
    <externalReference r:id="rId4"/>
  </externalReferences>
  <definedNames>
    <definedName name="BIOMASSAREA">'LAND USE'!$AL$51</definedName>
    <definedName name="CONSTOT">'LAND USE'!$A$6</definedName>
    <definedName name="RDCTOT">'LAND USE'!$F$48</definedName>
    <definedName name="SCENARIOPOP">'LAND USE'!$A$7</definedName>
  </definedNames>
  <calcPr calcId="162913"/>
  <fileRecoveryPr repairLoad="1"/>
</workbook>
</file>

<file path=xl/calcChain.xml><?xml version="1.0" encoding="utf-8"?>
<calcChain xmlns="http://schemas.openxmlformats.org/spreadsheetml/2006/main">
  <c r="AF15" i="1" l="1"/>
  <c r="AF19" i="1"/>
  <c r="AF23" i="1"/>
  <c r="AF27" i="1"/>
  <c r="AF31" i="1"/>
  <c r="AF32" i="1"/>
  <c r="AF35" i="1"/>
  <c r="AF36" i="1"/>
  <c r="AF39" i="1"/>
  <c r="AF40"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11" i="1"/>
  <c r="AG24" i="1"/>
  <c r="AH24" i="1"/>
  <c r="AF12" i="1"/>
  <c r="AF13" i="1"/>
  <c r="AF14" i="1"/>
  <c r="AF16" i="1"/>
  <c r="AF17" i="1"/>
  <c r="AF18" i="1"/>
  <c r="AF20" i="1"/>
  <c r="AF21" i="1"/>
  <c r="AF22" i="1"/>
  <c r="AF24" i="1"/>
  <c r="AF25" i="1"/>
  <c r="AF26" i="1"/>
  <c r="AF28" i="1"/>
  <c r="AF29" i="1"/>
  <c r="AF30" i="1"/>
  <c r="AF33" i="1"/>
  <c r="AF34" i="1"/>
  <c r="AF37" i="1"/>
  <c r="AF38" i="1"/>
  <c r="AF41" i="1"/>
  <c r="AF42" i="1"/>
  <c r="AF11" i="1"/>
  <c r="K24" i="3" l="1"/>
  <c r="K25" i="3"/>
  <c r="K26" i="3"/>
  <c r="K27" i="3"/>
  <c r="K28" i="3"/>
  <c r="K29" i="3"/>
  <c r="K30" i="3"/>
  <c r="K34" i="3"/>
  <c r="K35" i="3"/>
  <c r="K36" i="3"/>
  <c r="K37" i="3"/>
  <c r="K38" i="3"/>
  <c r="K39" i="3"/>
  <c r="K40" i="3"/>
  <c r="K41" i="3"/>
  <c r="K42" i="3"/>
  <c r="K43" i="3"/>
  <c r="K44" i="3"/>
  <c r="K45" i="3"/>
  <c r="K46" i="3"/>
  <c r="K47" i="3"/>
  <c r="K48" i="3"/>
  <c r="K23" i="3"/>
  <c r="BH20" i="1" l="1"/>
  <c r="BH24" i="1"/>
  <c r="BH28" i="1"/>
  <c r="BH32" i="1"/>
  <c r="BH34" i="1"/>
  <c r="R121" i="3"/>
  <c r="R120" i="3"/>
  <c r="R119" i="3"/>
  <c r="R118" i="3"/>
  <c r="R117" i="3"/>
  <c r="R116" i="3"/>
  <c r="R115" i="3"/>
  <c r="R114" i="3"/>
  <c r="R113" i="3"/>
  <c r="R112" i="3"/>
  <c r="R110" i="3"/>
  <c r="R109" i="3"/>
  <c r="R108" i="3"/>
  <c r="R107" i="3"/>
  <c r="R106" i="3"/>
  <c r="R104" i="3"/>
  <c r="R103" i="3"/>
  <c r="R102" i="3"/>
  <c r="R100" i="3"/>
  <c r="R99" i="3"/>
  <c r="R98" i="3"/>
  <c r="R97" i="3"/>
  <c r="R96" i="3"/>
  <c r="R95" i="3"/>
  <c r="R94" i="3"/>
  <c r="R93" i="3"/>
  <c r="R92" i="3"/>
  <c r="R91" i="3"/>
  <c r="R90" i="3"/>
  <c r="R89" i="3"/>
  <c r="R88" i="3"/>
  <c r="AA66" i="3"/>
  <c r="AA70" i="3"/>
  <c r="AA71" i="3"/>
  <c r="AA74" i="3"/>
  <c r="AA77" i="3"/>
  <c r="AA79" i="3"/>
  <c r="AA83" i="3"/>
  <c r="Z72" i="3"/>
  <c r="Z76" i="3"/>
  <c r="Z82" i="3"/>
  <c r="AE37" i="1"/>
  <c r="BF24" i="1"/>
  <c r="BF28" i="1"/>
  <c r="BF34" i="1"/>
  <c r="O23" i="1"/>
  <c r="N88" i="3"/>
  <c r="M89" i="3"/>
  <c r="K89" i="3" s="1"/>
  <c r="M90" i="3"/>
  <c r="K90" i="3" s="1"/>
  <c r="M91" i="3"/>
  <c r="K91" i="3" s="1"/>
  <c r="M92" i="3"/>
  <c r="K92" i="3" s="1"/>
  <c r="M93" i="3"/>
  <c r="K93" i="3" s="1"/>
  <c r="M94" i="3"/>
  <c r="K94" i="3" s="1"/>
  <c r="M95" i="3"/>
  <c r="K95" i="3" s="1"/>
  <c r="M96" i="3"/>
  <c r="K96" i="3" s="1"/>
  <c r="M97" i="3"/>
  <c r="K97" i="3" s="1"/>
  <c r="M98" i="3"/>
  <c r="K98" i="3" s="1"/>
  <c r="M99" i="3"/>
  <c r="K99" i="3" s="1"/>
  <c r="M100" i="3"/>
  <c r="K100" i="3" s="1"/>
  <c r="M101" i="3"/>
  <c r="K101" i="3" s="1"/>
  <c r="M102" i="3"/>
  <c r="K102" i="3" s="1"/>
  <c r="M104" i="3"/>
  <c r="K104" i="3" s="1"/>
  <c r="M105" i="3"/>
  <c r="K105" i="3" s="1"/>
  <c r="M106" i="3"/>
  <c r="K106" i="3" s="1"/>
  <c r="M107" i="3"/>
  <c r="K107" i="3" s="1"/>
  <c r="M108" i="3"/>
  <c r="K108" i="3" s="1"/>
  <c r="M109" i="3"/>
  <c r="K109" i="3" s="1"/>
  <c r="M110" i="3"/>
  <c r="K110" i="3" s="1"/>
  <c r="M88" i="3"/>
  <c r="K88" i="3" s="1"/>
  <c r="T70" i="3"/>
  <c r="Z70" i="3" s="1"/>
  <c r="T71" i="3"/>
  <c r="Z71" i="3" s="1"/>
  <c r="T77" i="3"/>
  <c r="V65" i="3"/>
  <c r="AA65" i="3" s="1"/>
  <c r="T69" i="3"/>
  <c r="Z69" i="3" s="1"/>
  <c r="V72" i="3"/>
  <c r="AA72" i="3" s="1"/>
  <c r="T72" i="3"/>
  <c r="V73" i="3"/>
  <c r="AA73" i="3" s="1"/>
  <c r="T73" i="3"/>
  <c r="Z73" i="3" s="1"/>
  <c r="V74" i="3"/>
  <c r="T74" i="3"/>
  <c r="Z74" i="3" s="1"/>
  <c r="V68" i="3"/>
  <c r="AA68" i="3" s="1"/>
  <c r="T67" i="3"/>
  <c r="Z67" i="3" s="1"/>
  <c r="V66" i="3"/>
  <c r="T65" i="3"/>
  <c r="Z65" i="3" s="1"/>
  <c r="V75" i="3"/>
  <c r="AA75" i="3" s="1"/>
  <c r="T75" i="3"/>
  <c r="Z75" i="3" s="1"/>
  <c r="V76" i="3"/>
  <c r="AA76" i="3" s="1"/>
  <c r="T76" i="3"/>
  <c r="V63" i="3"/>
  <c r="AA63" i="3" s="1"/>
  <c r="T63" i="3"/>
  <c r="Z63" i="3" s="1"/>
  <c r="V67" i="3"/>
  <c r="AA67" i="3" s="1"/>
  <c r="T66" i="3"/>
  <c r="Z66" i="3" s="1"/>
  <c r="V69" i="3"/>
  <c r="AA69" i="3" s="1"/>
  <c r="T68" i="3"/>
  <c r="Z68" i="3" s="1"/>
  <c r="V85" i="3"/>
  <c r="AA85" i="3" s="1"/>
  <c r="T85" i="3"/>
  <c r="Z85" i="3" s="1"/>
  <c r="V84" i="3"/>
  <c r="AA84" i="3" s="1"/>
  <c r="T84" i="3"/>
  <c r="Z84" i="3" s="1"/>
  <c r="V82" i="3"/>
  <c r="AA82" i="3" s="1"/>
  <c r="T82" i="3"/>
  <c r="V83" i="3"/>
  <c r="T83" i="3"/>
  <c r="Z83" i="3" s="1"/>
  <c r="V81" i="3"/>
  <c r="AA81" i="3" s="1"/>
  <c r="T81" i="3"/>
  <c r="Z81" i="3" s="1"/>
  <c r="V80" i="3"/>
  <c r="AA80" i="3" s="1"/>
  <c r="T80" i="3"/>
  <c r="Z80" i="3" s="1"/>
  <c r="V79" i="3"/>
  <c r="T79" i="3"/>
  <c r="Z79" i="3" s="1"/>
  <c r="V78" i="3"/>
  <c r="T78" i="3"/>
  <c r="Z78" i="3" s="1"/>
  <c r="V64" i="3"/>
  <c r="AA64" i="3" s="1"/>
  <c r="H62" i="3"/>
  <c r="H63" i="3"/>
  <c r="H64" i="3"/>
  <c r="H65" i="3"/>
  <c r="H66" i="3"/>
  <c r="H67" i="3"/>
  <c r="H68" i="3"/>
  <c r="H69" i="3"/>
  <c r="H70" i="3"/>
  <c r="H71" i="3"/>
  <c r="H72" i="3"/>
  <c r="H73" i="3"/>
  <c r="H74" i="3"/>
  <c r="H75" i="3"/>
  <c r="H77" i="3"/>
  <c r="H78" i="3"/>
  <c r="H79" i="3"/>
  <c r="H80" i="3"/>
  <c r="H81" i="3"/>
  <c r="H82" i="3"/>
  <c r="H83" i="3"/>
  <c r="H84" i="3"/>
  <c r="H85" i="3"/>
  <c r="H61" i="3"/>
  <c r="J76" i="3"/>
  <c r="H76" i="3" s="1"/>
  <c r="G76" i="3"/>
  <c r="Q49" i="3"/>
  <c r="Q50" i="3"/>
  <c r="BD12" i="1"/>
  <c r="BD13" i="1"/>
  <c r="BD14" i="1"/>
  <c r="BD15" i="1"/>
  <c r="BD16" i="1"/>
  <c r="BD17" i="1"/>
  <c r="BD18" i="1"/>
  <c r="BD19" i="1"/>
  <c r="BD20" i="1"/>
  <c r="BD21" i="1"/>
  <c r="BD22" i="1"/>
  <c r="BD23" i="1"/>
  <c r="BD24" i="1"/>
  <c r="BD25" i="1"/>
  <c r="BD26" i="1"/>
  <c r="BD27" i="1"/>
  <c r="BD28" i="1"/>
  <c r="BD29" i="1"/>
  <c r="BD30" i="1"/>
  <c r="BD31" i="1"/>
  <c r="BD32" i="1"/>
  <c r="BD11" i="1"/>
  <c r="L40" i="3"/>
  <c r="D22" i="3"/>
  <c r="D23" i="3"/>
  <c r="L41" i="3"/>
  <c r="L44" i="3"/>
  <c r="L45" i="3"/>
  <c r="L34" i="3"/>
  <c r="L48" i="3"/>
  <c r="L43" i="3"/>
  <c r="L50" i="3"/>
  <c r="D32" i="3"/>
  <c r="L39" i="3"/>
  <c r="L51" i="3"/>
  <c r="D35" i="3"/>
  <c r="L36" i="3"/>
  <c r="L35" i="3"/>
  <c r="L47" i="3"/>
  <c r="D39" i="3"/>
  <c r="D40" i="3"/>
  <c r="L25" i="3"/>
  <c r="L30" i="3"/>
  <c r="L29" i="3"/>
  <c r="L46" i="3"/>
  <c r="B12" i="3"/>
  <c r="B9" i="3"/>
  <c r="C10" i="3"/>
  <c r="AC28" i="1"/>
  <c r="AZ28" i="1" s="1"/>
  <c r="AC34" i="1"/>
  <c r="AB28" i="1"/>
  <c r="AB34" i="1"/>
  <c r="R56" i="1"/>
  <c r="R55" i="1"/>
  <c r="AU33" i="1"/>
  <c r="AU34" i="1"/>
  <c r="AU37" i="1"/>
  <c r="AU42" i="1"/>
  <c r="AU11" i="1"/>
  <c r="AE42" i="1"/>
  <c r="AE36" i="1"/>
  <c r="AU36" i="1" s="1"/>
  <c r="AE35" i="1"/>
  <c r="AU35" i="1" s="1"/>
  <c r="AE18" i="1"/>
  <c r="AU18" i="1" s="1"/>
  <c r="AE24" i="1"/>
  <c r="AU24" i="1" s="1"/>
  <c r="AE29" i="1"/>
  <c r="AU29" i="1" s="1"/>
  <c r="AE32" i="1"/>
  <c r="AU32" i="1" s="1"/>
  <c r="AE33" i="1"/>
  <c r="AI60" i="1"/>
  <c r="AH60" i="1"/>
  <c r="AC60" i="1"/>
  <c r="AC58" i="1"/>
  <c r="AJ60" i="1"/>
  <c r="AB57" i="1"/>
  <c r="C55" i="1"/>
  <c r="K54" i="1"/>
  <c r="N47" i="1"/>
  <c r="N48" i="1" s="1"/>
  <c r="M47" i="1"/>
  <c r="L47" i="1"/>
  <c r="E47" i="1"/>
  <c r="D47" i="1"/>
  <c r="B47" i="1"/>
  <c r="L46" i="1"/>
  <c r="L50" i="1"/>
  <c r="D46" i="1"/>
  <c r="D48" i="1" s="1"/>
  <c r="B46" i="1"/>
  <c r="B48" i="1" s="1"/>
  <c r="AJ44" i="1"/>
  <c r="AI44" i="1"/>
  <c r="AD44" i="1"/>
  <c r="AG44" i="1" s="1"/>
  <c r="R44" i="1"/>
  <c r="W44" i="1" s="1"/>
  <c r="J44" i="1"/>
  <c r="I44" i="1"/>
  <c r="F44" i="1"/>
  <c r="BF44" i="1" s="1"/>
  <c r="AZ43" i="1"/>
  <c r="AJ43" i="1"/>
  <c r="AI43" i="1"/>
  <c r="AD43" i="1"/>
  <c r="AY43" i="1" s="1"/>
  <c r="J43" i="1"/>
  <c r="C43" i="1"/>
  <c r="F43" i="1" s="1"/>
  <c r="AQ42" i="1"/>
  <c r="J42" i="1"/>
  <c r="C42" i="1"/>
  <c r="I42" i="1" s="1"/>
  <c r="J41" i="1"/>
  <c r="C41" i="1"/>
  <c r="F41" i="1" s="1"/>
  <c r="J40" i="1"/>
  <c r="C40" i="1"/>
  <c r="I40" i="1" s="1"/>
  <c r="J39" i="1"/>
  <c r="K39" i="1" s="1"/>
  <c r="C39" i="1"/>
  <c r="I39" i="1"/>
  <c r="J38" i="1"/>
  <c r="C38" i="1"/>
  <c r="F38" i="1" s="1"/>
  <c r="J37" i="1"/>
  <c r="C37" i="1"/>
  <c r="J36" i="1"/>
  <c r="J47" i="1" s="1"/>
  <c r="C36" i="1"/>
  <c r="F36" i="1" s="1"/>
  <c r="O35" i="1"/>
  <c r="O47" i="1" s="1"/>
  <c r="O48" i="1" s="1"/>
  <c r="J35" i="1"/>
  <c r="K34" i="1"/>
  <c r="J33" i="1"/>
  <c r="I33" i="1"/>
  <c r="F33" i="1"/>
  <c r="AC33" i="1" s="1"/>
  <c r="M32" i="1"/>
  <c r="J32" i="1"/>
  <c r="I32" i="1"/>
  <c r="F32" i="1"/>
  <c r="AW32" i="1"/>
  <c r="AS31" i="1"/>
  <c r="M31" i="1"/>
  <c r="P31" i="1" s="1"/>
  <c r="AE31" i="1" s="1"/>
  <c r="AU31" i="1" s="1"/>
  <c r="K31" i="1"/>
  <c r="F31" i="1"/>
  <c r="AC31" i="1" s="1"/>
  <c r="AZ31" i="1" s="1"/>
  <c r="AS30" i="1"/>
  <c r="M30" i="1"/>
  <c r="P30" i="1" s="1"/>
  <c r="AE30" i="1" s="1"/>
  <c r="AU30" i="1" s="1"/>
  <c r="J30" i="1"/>
  <c r="K30" i="1" s="1"/>
  <c r="I30" i="1"/>
  <c r="E30" i="1"/>
  <c r="F30" i="1" s="1"/>
  <c r="BH30" i="1" s="1"/>
  <c r="AS29" i="1"/>
  <c r="M29" i="1"/>
  <c r="M46" i="1" s="1"/>
  <c r="J29" i="1"/>
  <c r="I29" i="1"/>
  <c r="F29" i="1"/>
  <c r="BH29" i="1" s="1"/>
  <c r="AW28" i="1"/>
  <c r="AS28" i="1"/>
  <c r="M28" i="1"/>
  <c r="P28" i="1" s="1"/>
  <c r="AE28" i="1" s="1"/>
  <c r="AU28" i="1" s="1"/>
  <c r="J28" i="1"/>
  <c r="I28" i="1"/>
  <c r="E28" i="1"/>
  <c r="AS27" i="1"/>
  <c r="P27" i="1"/>
  <c r="AE27" i="1" s="1"/>
  <c r="AU27" i="1" s="1"/>
  <c r="J27" i="1"/>
  <c r="K27" i="1" s="1"/>
  <c r="I27" i="1"/>
  <c r="F27" i="1"/>
  <c r="AC27" i="1" s="1"/>
  <c r="AZ27" i="1" s="1"/>
  <c r="AS26" i="1"/>
  <c r="P26" i="1"/>
  <c r="AE26" i="1" s="1"/>
  <c r="AU26" i="1" s="1"/>
  <c r="J26" i="1"/>
  <c r="I26" i="1"/>
  <c r="F26" i="1"/>
  <c r="AC26" i="1" s="1"/>
  <c r="AZ26" i="1" s="1"/>
  <c r="AS25" i="1"/>
  <c r="P25" i="1"/>
  <c r="AE25" i="1" s="1"/>
  <c r="AU25" i="1" s="1"/>
  <c r="J25" i="1"/>
  <c r="I25" i="1"/>
  <c r="F25" i="1"/>
  <c r="BH25" i="1" s="1"/>
  <c r="E25" i="1"/>
  <c r="AX24" i="1"/>
  <c r="AS24" i="1"/>
  <c r="AQ24" i="1"/>
  <c r="AR24" i="1"/>
  <c r="AP24" i="1"/>
  <c r="K24" i="1"/>
  <c r="AS23" i="1"/>
  <c r="P23" i="1"/>
  <c r="AE23" i="1" s="1"/>
  <c r="AU23" i="1" s="1"/>
  <c r="J23" i="1"/>
  <c r="I23" i="1"/>
  <c r="K23" i="1" s="1"/>
  <c r="F23" i="1"/>
  <c r="AB23" i="1" s="1"/>
  <c r="AS22" i="1"/>
  <c r="P22" i="1"/>
  <c r="AE22" i="1" s="1"/>
  <c r="AU22" i="1" s="1"/>
  <c r="J22" i="1"/>
  <c r="K22" i="1" s="1"/>
  <c r="I22" i="1"/>
  <c r="F22" i="1"/>
  <c r="BH22" i="1" s="1"/>
  <c r="AS21" i="1"/>
  <c r="P21" i="1"/>
  <c r="AE21" i="1" s="1"/>
  <c r="AU21" i="1" s="1"/>
  <c r="J21" i="1"/>
  <c r="I21" i="1"/>
  <c r="F21" i="1"/>
  <c r="BH21" i="1" s="1"/>
  <c r="AS20" i="1"/>
  <c r="P20" i="1"/>
  <c r="AE20" i="1" s="1"/>
  <c r="AU20" i="1" s="1"/>
  <c r="J20" i="1"/>
  <c r="I20" i="1"/>
  <c r="F20" i="1"/>
  <c r="AC20" i="1" s="1"/>
  <c r="AZ20" i="1" s="1"/>
  <c r="AS19" i="1"/>
  <c r="P19" i="1"/>
  <c r="J19" i="1"/>
  <c r="K19" i="1" s="1"/>
  <c r="I19" i="1"/>
  <c r="F19" i="1"/>
  <c r="BH19" i="1" s="1"/>
  <c r="AC19" i="1"/>
  <c r="AZ19" i="1" s="1"/>
  <c r="AS18" i="1"/>
  <c r="J18" i="1"/>
  <c r="I18" i="1"/>
  <c r="F18" i="1"/>
  <c r="AW18" i="1" s="1"/>
  <c r="AS17" i="1"/>
  <c r="P17" i="1"/>
  <c r="AE17" i="1" s="1"/>
  <c r="AU17" i="1" s="1"/>
  <c r="M17" i="1"/>
  <c r="J17" i="1"/>
  <c r="I17" i="1"/>
  <c r="E17" i="1"/>
  <c r="F17" i="1" s="1"/>
  <c r="BH17" i="1" s="1"/>
  <c r="AS16" i="1"/>
  <c r="P16" i="1"/>
  <c r="AE16" i="1" s="1"/>
  <c r="AU16" i="1" s="1"/>
  <c r="M16" i="1"/>
  <c r="J16" i="1"/>
  <c r="E16" i="1"/>
  <c r="C16" i="1"/>
  <c r="F16" i="1" s="1"/>
  <c r="AS15" i="1"/>
  <c r="P15" i="1"/>
  <c r="AE15" i="1" s="1"/>
  <c r="AU15" i="1" s="1"/>
  <c r="J15" i="1"/>
  <c r="C15" i="1"/>
  <c r="F15" i="1" s="1"/>
  <c r="AS14" i="1"/>
  <c r="P14" i="1"/>
  <c r="AE14" i="1" s="1"/>
  <c r="AU14" i="1" s="1"/>
  <c r="J14" i="1"/>
  <c r="I14" i="1"/>
  <c r="K14" i="1" s="1"/>
  <c r="F14" i="1"/>
  <c r="BH14" i="1" s="1"/>
  <c r="AS13" i="1"/>
  <c r="P13" i="1"/>
  <c r="AE13" i="1" s="1"/>
  <c r="AU13" i="1" s="1"/>
  <c r="J13" i="1"/>
  <c r="AX13" i="1" s="1"/>
  <c r="I13" i="1"/>
  <c r="F13" i="1"/>
  <c r="AB13" i="1" s="1"/>
  <c r="AQ13" i="1" s="1"/>
  <c r="AS12" i="1"/>
  <c r="P12" i="1"/>
  <c r="AE12" i="1" s="1"/>
  <c r="AU12" i="1" s="1"/>
  <c r="J12" i="1"/>
  <c r="I12" i="1"/>
  <c r="AX12" i="1" s="1"/>
  <c r="F12" i="1"/>
  <c r="AB12" i="1" s="1"/>
  <c r="AS11" i="1"/>
  <c r="P11" i="1"/>
  <c r="J11" i="1"/>
  <c r="C11" i="1"/>
  <c r="I11" i="1" s="1"/>
  <c r="C46" i="1"/>
  <c r="AW19" i="1"/>
  <c r="AQ23" i="1"/>
  <c r="E11" i="1"/>
  <c r="E46" i="1" s="1"/>
  <c r="E48" i="1" s="1"/>
  <c r="AW13" i="1"/>
  <c r="I16" i="1"/>
  <c r="AX23" i="1"/>
  <c r="AW27" i="1"/>
  <c r="F39" i="1"/>
  <c r="F40" i="1"/>
  <c r="BH40" i="1" s="1"/>
  <c r="I41" i="1"/>
  <c r="AX41" i="1" s="1"/>
  <c r="F42" i="1"/>
  <c r="BF42" i="1" s="1"/>
  <c r="I43" i="1"/>
  <c r="K43" i="1" s="1"/>
  <c r="K44" i="1"/>
  <c r="AW20" i="1"/>
  <c r="K21" i="1"/>
  <c r="K18" i="1"/>
  <c r="AZ24" i="1"/>
  <c r="K26" i="1"/>
  <c r="AW29" i="1"/>
  <c r="AW30" i="1"/>
  <c r="Q40" i="1"/>
  <c r="P40" i="1"/>
  <c r="AE40" i="1" s="1"/>
  <c r="AU40" i="1" s="1"/>
  <c r="AW40" i="1"/>
  <c r="AW42" i="1"/>
  <c r="F11" i="1"/>
  <c r="AB11" i="1" s="1"/>
  <c r="K17" i="1"/>
  <c r="AW26" i="1"/>
  <c r="AX29" i="1"/>
  <c r="AW33" i="1"/>
  <c r="I36" i="1"/>
  <c r="K29" i="1"/>
  <c r="AW41" i="1"/>
  <c r="P41" i="1"/>
  <c r="AE41" i="1" s="1"/>
  <c r="AU41" i="1" s="1"/>
  <c r="Q41" i="1"/>
  <c r="L48" i="1"/>
  <c r="K36" i="1"/>
  <c r="AX18" i="1"/>
  <c r="AW23" i="1"/>
  <c r="AW22" i="1"/>
  <c r="AX26" i="1"/>
  <c r="AY24" i="1"/>
  <c r="AS42" i="1"/>
  <c r="AA78" i="3"/>
  <c r="BF19" i="1"/>
  <c r="AB19" i="1"/>
  <c r="AE19" i="1"/>
  <c r="AU19" i="1" s="1"/>
  <c r="AR20" i="1" l="1"/>
  <c r="AC16" i="1"/>
  <c r="AZ16" i="1" s="1"/>
  <c r="AW16" i="1"/>
  <c r="BH16" i="1"/>
  <c r="BH36" i="1"/>
  <c r="AB38" i="1"/>
  <c r="BH38" i="1"/>
  <c r="Q38" i="1"/>
  <c r="AW38" i="1"/>
  <c r="P38" i="1"/>
  <c r="AE38" i="1" s="1"/>
  <c r="AU38" i="1" s="1"/>
  <c r="AX43" i="1"/>
  <c r="AW43" i="1"/>
  <c r="M50" i="1"/>
  <c r="M48" i="1"/>
  <c r="L52" i="1"/>
  <c r="AW15" i="1"/>
  <c r="BH15" i="1"/>
  <c r="AB31" i="1"/>
  <c r="AQ31" i="1" s="1"/>
  <c r="BH41" i="1"/>
  <c r="AX31" i="1"/>
  <c r="AX14" i="1"/>
  <c r="AW39" i="1"/>
  <c r="AX42" i="1"/>
  <c r="AX22" i="1"/>
  <c r="I15" i="1"/>
  <c r="K15" i="1" s="1"/>
  <c r="K42" i="1"/>
  <c r="AQ28" i="1"/>
  <c r="BF20" i="1"/>
  <c r="BH11" i="1"/>
  <c r="BH31" i="1"/>
  <c r="BH27" i="1"/>
  <c r="BH23" i="1"/>
  <c r="AX19" i="1"/>
  <c r="AX27" i="1"/>
  <c r="K41" i="1"/>
  <c r="AX21" i="1"/>
  <c r="AW21" i="1"/>
  <c r="AX44" i="1"/>
  <c r="BF27" i="1"/>
  <c r="BF25" i="1"/>
  <c r="BH12" i="1"/>
  <c r="BH26" i="1"/>
  <c r="BH18" i="1"/>
  <c r="BF31" i="1"/>
  <c r="I38" i="1"/>
  <c r="U54" i="1"/>
  <c r="F46" i="1"/>
  <c r="I46" i="1"/>
  <c r="K12" i="1"/>
  <c r="AX17" i="1"/>
  <c r="R57" i="1"/>
  <c r="R58" i="1" s="1"/>
  <c r="AB33" i="1"/>
  <c r="BF26" i="1"/>
  <c r="BH33" i="1"/>
  <c r="BH13" i="1"/>
  <c r="AD19" i="1"/>
  <c r="AR28" i="1"/>
  <c r="AR27" i="1"/>
  <c r="AR19" i="1"/>
  <c r="AR16" i="1"/>
  <c r="AR26" i="1"/>
  <c r="M52" i="1"/>
  <c r="N52" i="1" s="1"/>
  <c r="AD28" i="1"/>
  <c r="AG43" i="1"/>
  <c r="AQ19" i="1"/>
  <c r="AR31" i="1"/>
  <c r="AX16" i="1"/>
  <c r="K16" i="1"/>
  <c r="C47" i="1"/>
  <c r="C48" i="1" s="1"/>
  <c r="F35" i="1"/>
  <c r="I35" i="1"/>
  <c r="BF36" i="1"/>
  <c r="AC36" i="1"/>
  <c r="AB36" i="1"/>
  <c r="P36" i="1"/>
  <c r="Q36" i="1"/>
  <c r="AW36" i="1"/>
  <c r="AC11" i="1"/>
  <c r="AW11" i="1"/>
  <c r="AB39" i="1"/>
  <c r="P39" i="1"/>
  <c r="AE39" i="1" s="1"/>
  <c r="AU39" i="1" s="1"/>
  <c r="AX39" i="1"/>
  <c r="AC39" i="1"/>
  <c r="Q39" i="1"/>
  <c r="AC14" i="1"/>
  <c r="BF14" i="1"/>
  <c r="AB14" i="1"/>
  <c r="AC15" i="1"/>
  <c r="AB15" i="1"/>
  <c r="AX15" i="1"/>
  <c r="U52" i="1"/>
  <c r="AB17" i="1"/>
  <c r="AC17" i="1"/>
  <c r="AW17" i="1"/>
  <c r="AX20" i="1"/>
  <c r="K20" i="1"/>
  <c r="O22" i="1" s="1"/>
  <c r="AB30" i="1"/>
  <c r="AC30" i="1"/>
  <c r="AX30" i="1"/>
  <c r="AX33" i="1"/>
  <c r="K33" i="1"/>
  <c r="AX36" i="1"/>
  <c r="AC41" i="1"/>
  <c r="AB41" i="1"/>
  <c r="J46" i="1"/>
  <c r="J48" i="1" s="1"/>
  <c r="K13" i="1"/>
  <c r="AX25" i="1"/>
  <c r="K25" i="1"/>
  <c r="AX28" i="1"/>
  <c r="K28" i="1"/>
  <c r="AX32" i="1"/>
  <c r="K32" i="1"/>
  <c r="BF11" i="1"/>
  <c r="BF41" i="1"/>
  <c r="U51" i="1"/>
  <c r="AW14" i="1"/>
  <c r="K11" i="1"/>
  <c r="AX11" i="1"/>
  <c r="AC12" i="1"/>
  <c r="BF12" i="1"/>
  <c r="AW12" i="1"/>
  <c r="AS46" i="1"/>
  <c r="F37" i="1"/>
  <c r="I37" i="1"/>
  <c r="AX40" i="1"/>
  <c r="K40" i="1"/>
  <c r="BF30" i="1"/>
  <c r="BF18" i="1"/>
  <c r="AC18" i="1"/>
  <c r="AB18" i="1"/>
  <c r="AC21" i="1"/>
  <c r="AB21" i="1"/>
  <c r="AC32" i="1"/>
  <c r="AB32" i="1"/>
  <c r="AB20" i="1"/>
  <c r="AC42" i="1"/>
  <c r="BE13" i="1"/>
  <c r="BF17" i="1"/>
  <c r="BF13" i="1"/>
  <c r="BF21" i="1"/>
  <c r="AC40" i="1"/>
  <c r="BF40" i="1"/>
  <c r="AZ33" i="1"/>
  <c r="AB40" i="1"/>
  <c r="AD34" i="1"/>
  <c r="AB16" i="1"/>
  <c r="AC13" i="1"/>
  <c r="BF32" i="1"/>
  <c r="BF33" i="1"/>
  <c r="BF16" i="1"/>
  <c r="BF43" i="1"/>
  <c r="BF39" i="1"/>
  <c r="BF22" i="1"/>
  <c r="AC22" i="1"/>
  <c r="AB22" i="1"/>
  <c r="AC25" i="1"/>
  <c r="AB25" i="1"/>
  <c r="AW25" i="1"/>
  <c r="AC29" i="1"/>
  <c r="AB29" i="1"/>
  <c r="BF38" i="1"/>
  <c r="AC38" i="1"/>
  <c r="AB42" i="1"/>
  <c r="AB26" i="1"/>
  <c r="AC23" i="1"/>
  <c r="AD23" i="1" s="1"/>
  <c r="BF23" i="1"/>
  <c r="BF15" i="1"/>
  <c r="BF29" i="1"/>
  <c r="AB27" i="1"/>
  <c r="T64" i="3"/>
  <c r="Z64" i="3" s="1"/>
  <c r="AP19" i="1" l="1"/>
  <c r="AH19" i="1"/>
  <c r="AG19" i="1"/>
  <c r="AD31" i="1"/>
  <c r="AY31" i="1" s="1"/>
  <c r="AG28" i="1"/>
  <c r="AH28" i="1"/>
  <c r="AH23" i="1"/>
  <c r="AG23" i="1"/>
  <c r="AH34" i="1"/>
  <c r="AG34" i="1"/>
  <c r="AD33" i="1"/>
  <c r="BH39" i="1"/>
  <c r="K46" i="1"/>
  <c r="AX38" i="1"/>
  <c r="K38" i="1"/>
  <c r="AQ38" i="1"/>
  <c r="AK38" i="1"/>
  <c r="AS38" i="1" s="1"/>
  <c r="AY19" i="1"/>
  <c r="AD42" i="1"/>
  <c r="AP28" i="1"/>
  <c r="AY28" i="1"/>
  <c r="AP31" i="1"/>
  <c r="AP23" i="1"/>
  <c r="AY23" i="1"/>
  <c r="AZ25" i="1"/>
  <c r="AR25" i="1"/>
  <c r="AD40" i="1"/>
  <c r="AK40" i="1"/>
  <c r="AS40" i="1" s="1"/>
  <c r="AQ40" i="1"/>
  <c r="AZ42" i="1"/>
  <c r="AR42" i="1"/>
  <c r="AD21" i="1"/>
  <c r="AQ21" i="1"/>
  <c r="AX37" i="1"/>
  <c r="K37" i="1"/>
  <c r="F51" i="1"/>
  <c r="N42" i="1"/>
  <c r="AD30" i="1"/>
  <c r="AQ30" i="1"/>
  <c r="AZ17" i="1"/>
  <c r="AR17" i="1"/>
  <c r="AD15" i="1"/>
  <c r="AQ15" i="1"/>
  <c r="AZ14" i="1"/>
  <c r="AR14" i="1"/>
  <c r="AC46" i="1"/>
  <c r="AZ11" i="1"/>
  <c r="AD27" i="1"/>
  <c r="AQ27" i="1"/>
  <c r="AZ29" i="1"/>
  <c r="AR29" i="1"/>
  <c r="AQ22" i="1"/>
  <c r="AD22" i="1"/>
  <c r="AZ13" i="1"/>
  <c r="AR13" i="1"/>
  <c r="AR40" i="1"/>
  <c r="AZ40" i="1"/>
  <c r="AD20" i="1"/>
  <c r="AQ20" i="1"/>
  <c r="AZ21" i="1"/>
  <c r="AR21" i="1"/>
  <c r="AC37" i="1"/>
  <c r="AB37" i="1"/>
  <c r="P37" i="1"/>
  <c r="BH37" i="1" s="1"/>
  <c r="BF37" i="1"/>
  <c r="Q37" i="1"/>
  <c r="AW37" i="1"/>
  <c r="AZ12" i="1"/>
  <c r="AR12" i="1"/>
  <c r="AQ41" i="1"/>
  <c r="AD41" i="1"/>
  <c r="AK41" i="1"/>
  <c r="AS41" i="1" s="1"/>
  <c r="AD17" i="1"/>
  <c r="AQ17" i="1"/>
  <c r="AR15" i="1"/>
  <c r="AZ15" i="1"/>
  <c r="AD39" i="1"/>
  <c r="AK39" i="1"/>
  <c r="AS39" i="1" s="1"/>
  <c r="AQ39" i="1"/>
  <c r="I47" i="1"/>
  <c r="I48" i="1" s="1"/>
  <c r="AX35" i="1"/>
  <c r="K35" i="1"/>
  <c r="K47" i="1" s="1"/>
  <c r="AQ29" i="1"/>
  <c r="AD29" i="1"/>
  <c r="AZ38" i="1"/>
  <c r="AR38" i="1"/>
  <c r="AR22" i="1"/>
  <c r="AZ22" i="1"/>
  <c r="AD16" i="1"/>
  <c r="AQ16" i="1"/>
  <c r="AD32" i="1"/>
  <c r="AQ18" i="1"/>
  <c r="AD18" i="1"/>
  <c r="AD12" i="1"/>
  <c r="AQ12" i="1"/>
  <c r="AR41" i="1"/>
  <c r="AZ41" i="1"/>
  <c r="AD14" i="1"/>
  <c r="AQ14" i="1"/>
  <c r="AZ39" i="1"/>
  <c r="AR39" i="1"/>
  <c r="AW46" i="1"/>
  <c r="AP33" i="1"/>
  <c r="AY33" i="1"/>
  <c r="AK36" i="1"/>
  <c r="AS36" i="1" s="1"/>
  <c r="AQ36" i="1"/>
  <c r="AD36" i="1"/>
  <c r="AC35" i="1"/>
  <c r="BF35" i="1"/>
  <c r="BF46" i="1" s="1"/>
  <c r="Q35" i="1"/>
  <c r="AB35" i="1"/>
  <c r="F47" i="1"/>
  <c r="F48" i="1" s="1"/>
  <c r="AW35" i="1"/>
  <c r="AW47" i="1" s="1"/>
  <c r="U53" i="1"/>
  <c r="P35" i="1"/>
  <c r="BH35" i="1" s="1"/>
  <c r="AD38" i="1"/>
  <c r="AQ26" i="1"/>
  <c r="AD26" i="1"/>
  <c r="AR23" i="1"/>
  <c r="AZ23" i="1"/>
  <c r="AQ25" i="1"/>
  <c r="AD25" i="1"/>
  <c r="AD13" i="1"/>
  <c r="AZ32" i="1"/>
  <c r="AR18" i="1"/>
  <c r="AZ18" i="1"/>
  <c r="AX46" i="1"/>
  <c r="AZ30" i="1"/>
  <c r="AR30" i="1"/>
  <c r="AD11" i="1"/>
  <c r="AB46" i="1"/>
  <c r="AR36" i="1"/>
  <c r="AZ36" i="1"/>
  <c r="AH13" i="1" l="1"/>
  <c r="AG13" i="1"/>
  <c r="AG36" i="1"/>
  <c r="AH36" i="1"/>
  <c r="AG32" i="1"/>
  <c r="AH32" i="1"/>
  <c r="AH41" i="1"/>
  <c r="AG41" i="1"/>
  <c r="AG40" i="1"/>
  <c r="AH40" i="1"/>
  <c r="AH31" i="1"/>
  <c r="AG31" i="1"/>
  <c r="AH25" i="1"/>
  <c r="AG25" i="1"/>
  <c r="AH26" i="1"/>
  <c r="AG26" i="1"/>
  <c r="AH14" i="1"/>
  <c r="AG14" i="1"/>
  <c r="AG12" i="1"/>
  <c r="AH12" i="1"/>
  <c r="AG20" i="1"/>
  <c r="AH20" i="1"/>
  <c r="AH15" i="1"/>
  <c r="AG15" i="1"/>
  <c r="AH30" i="1"/>
  <c r="AG30" i="1"/>
  <c r="AP42" i="1"/>
  <c r="AH42" i="1"/>
  <c r="AG42" i="1"/>
  <c r="AH33" i="1"/>
  <c r="AG33" i="1"/>
  <c r="AH18" i="1"/>
  <c r="AG18" i="1"/>
  <c r="AG16" i="1"/>
  <c r="AH16" i="1"/>
  <c r="AH39" i="1"/>
  <c r="AG39" i="1"/>
  <c r="AH17" i="1"/>
  <c r="AG17" i="1"/>
  <c r="AH22" i="1"/>
  <c r="AG22" i="1"/>
  <c r="AH38" i="1"/>
  <c r="AG38" i="1"/>
  <c r="AH29" i="1"/>
  <c r="AG29" i="1"/>
  <c r="AH27" i="1"/>
  <c r="AG27" i="1"/>
  <c r="AH21" i="1"/>
  <c r="AG21" i="1"/>
  <c r="AG11" i="1"/>
  <c r="AH11" i="1"/>
  <c r="AX47" i="1"/>
  <c r="AY42" i="1"/>
  <c r="X35" i="1"/>
  <c r="AX48" i="1"/>
  <c r="W35" i="1"/>
  <c r="AY18" i="1"/>
  <c r="AP18" i="1"/>
  <c r="F50" i="1"/>
  <c r="N43" i="1"/>
  <c r="X37" i="1"/>
  <c r="AP27" i="1"/>
  <c r="AY27" i="1"/>
  <c r="AJ46" i="1"/>
  <c r="AJ48" i="1" s="1"/>
  <c r="AJ8" i="1" s="1"/>
  <c r="AR11" i="1"/>
  <c r="AR46" i="1" s="1"/>
  <c r="AY15" i="1"/>
  <c r="AP15" i="1"/>
  <c r="AY30" i="1"/>
  <c r="AP30" i="1"/>
  <c r="K48" i="1"/>
  <c r="AY21" i="1"/>
  <c r="AP21" i="1"/>
  <c r="AY11" i="1"/>
  <c r="AD46" i="1"/>
  <c r="AY13" i="1"/>
  <c r="AP13" i="1"/>
  <c r="AY16" i="1"/>
  <c r="AP16" i="1"/>
  <c r="AP39" i="1"/>
  <c r="AY39" i="1"/>
  <c r="AP17" i="1"/>
  <c r="AY17" i="1"/>
  <c r="AK37" i="1"/>
  <c r="AS37" i="1" s="1"/>
  <c r="AD37" i="1"/>
  <c r="AQ37" i="1"/>
  <c r="AY40" i="1"/>
  <c r="AP40" i="1"/>
  <c r="AQ11" i="1"/>
  <c r="AQ46" i="1" s="1"/>
  <c r="AI46" i="1"/>
  <c r="AY38" i="1"/>
  <c r="AP38" i="1"/>
  <c r="AP25" i="1"/>
  <c r="AY25" i="1"/>
  <c r="AP26" i="1"/>
  <c r="AY26" i="1"/>
  <c r="W40" i="1"/>
  <c r="X30" i="1"/>
  <c r="X18" i="1"/>
  <c r="X13" i="1"/>
  <c r="X44" i="1"/>
  <c r="X19" i="1"/>
  <c r="W43" i="1"/>
  <c r="X40" i="1"/>
  <c r="W28" i="1"/>
  <c r="W38" i="1"/>
  <c r="W17" i="1"/>
  <c r="X42" i="1"/>
  <c r="X15" i="1"/>
  <c r="W15" i="1"/>
  <c r="W31" i="1"/>
  <c r="X21" i="1"/>
  <c r="W41" i="1"/>
  <c r="X29" i="1"/>
  <c r="X16" i="1"/>
  <c r="X23" i="1"/>
  <c r="W14" i="1"/>
  <c r="W29" i="1"/>
  <c r="W42" i="1"/>
  <c r="X14" i="1"/>
  <c r="X28" i="1"/>
  <c r="X11" i="1"/>
  <c r="W30" i="1"/>
  <c r="W16" i="1"/>
  <c r="X41" i="1"/>
  <c r="W21" i="1"/>
  <c r="W22" i="1"/>
  <c r="X12" i="1"/>
  <c r="W12" i="1"/>
  <c r="X26" i="1"/>
  <c r="W32" i="1"/>
  <c r="X22" i="1"/>
  <c r="W13" i="1"/>
  <c r="W18" i="1"/>
  <c r="X17" i="1"/>
  <c r="X32" i="1"/>
  <c r="W39" i="1"/>
  <c r="W19" i="1"/>
  <c r="W27" i="1"/>
  <c r="W20" i="1"/>
  <c r="W26" i="1"/>
  <c r="X20" i="1"/>
  <c r="X39" i="1"/>
  <c r="W23" i="1"/>
  <c r="X38" i="1"/>
  <c r="X36" i="1"/>
  <c r="X27" i="1"/>
  <c r="W25" i="1"/>
  <c r="W11" i="1"/>
  <c r="X31" i="1"/>
  <c r="W36" i="1"/>
  <c r="X43" i="1"/>
  <c r="X25" i="1"/>
  <c r="AZ35" i="1"/>
  <c r="AR35" i="1"/>
  <c r="AC47" i="1"/>
  <c r="AC48" i="1" s="1"/>
  <c r="AW48" i="1"/>
  <c r="AY14" i="1"/>
  <c r="AP14" i="1"/>
  <c r="AP12" i="1"/>
  <c r="AY12" i="1"/>
  <c r="AP29" i="1"/>
  <c r="AL33" i="1"/>
  <c r="AY29" i="1"/>
  <c r="W37" i="1"/>
  <c r="AZ37" i="1"/>
  <c r="AR37" i="1"/>
  <c r="AY20" i="1"/>
  <c r="AP20" i="1"/>
  <c r="AZ46" i="1"/>
  <c r="Q42" i="1"/>
  <c r="BJ42" i="1" s="1"/>
  <c r="N44" i="1"/>
  <c r="AK35" i="1"/>
  <c r="AB47" i="1"/>
  <c r="AB48" i="1" s="1"/>
  <c r="AD35" i="1"/>
  <c r="AY36" i="1"/>
  <c r="AP36" i="1"/>
  <c r="AY32" i="1"/>
  <c r="AP32" i="1"/>
  <c r="AY41" i="1"/>
  <c r="AP41" i="1"/>
  <c r="AP22" i="1"/>
  <c r="AY22" i="1"/>
  <c r="AH37" i="1" l="1"/>
  <c r="AG37" i="1"/>
  <c r="AH35" i="1"/>
  <c r="AG35" i="1"/>
  <c r="AG47" i="1" s="1"/>
  <c r="AC50" i="1"/>
  <c r="X47" i="1"/>
  <c r="W46" i="1"/>
  <c r="W47" i="1"/>
  <c r="W48" i="1" s="1"/>
  <c r="W50" i="1" s="1"/>
  <c r="AS35" i="1"/>
  <c r="AS47" i="1" s="1"/>
  <c r="AK47" i="1"/>
  <c r="AK48" i="1" s="1"/>
  <c r="AI51" i="1"/>
  <c r="AY37" i="1"/>
  <c r="AP37" i="1"/>
  <c r="AP11" i="1"/>
  <c r="AP46" i="1" s="1"/>
  <c r="AF46" i="1"/>
  <c r="AL11" i="1"/>
  <c r="AL44" i="1"/>
  <c r="AI47" i="1"/>
  <c r="AI48" i="1" s="1"/>
  <c r="AQ35" i="1"/>
  <c r="AQ47" i="1" s="1"/>
  <c r="AQ48" i="1" s="1"/>
  <c r="AR47" i="1"/>
  <c r="AR48" i="1" s="1"/>
  <c r="AR8" i="1" s="1"/>
  <c r="AY46" i="1"/>
  <c r="AY35" i="1"/>
  <c r="AD47" i="1"/>
  <c r="AD48" i="1" s="1"/>
  <c r="AD8" i="1" s="1"/>
  <c r="AZ47" i="1"/>
  <c r="AZ48" i="1" s="1"/>
  <c r="AZ8" i="1" s="1"/>
  <c r="AG46" i="1"/>
  <c r="X46" i="1"/>
  <c r="AH46" i="1"/>
  <c r="AK8" i="1" l="1"/>
  <c r="AL51" i="1"/>
  <c r="AL8" i="1" s="1"/>
  <c r="X48" i="1"/>
  <c r="X50" i="1" s="1"/>
  <c r="AH47" i="1"/>
  <c r="AH48" i="1" s="1"/>
  <c r="AH8" i="1" s="1"/>
  <c r="AG48" i="1"/>
  <c r="AG8" i="1" s="1"/>
  <c r="AY47" i="1"/>
  <c r="AY48" i="1" s="1"/>
  <c r="AI8" i="1"/>
  <c r="AQ8" i="1"/>
  <c r="AO46" i="1"/>
  <c r="AS8" i="1"/>
  <c r="AS48" i="1"/>
  <c r="AT51" i="1" s="1"/>
  <c r="AT8" i="1" s="1"/>
  <c r="AD50" i="1"/>
  <c r="AF47" i="1"/>
  <c r="AE47" i="1" s="1"/>
  <c r="AP35" i="1"/>
  <c r="AP47" i="1" s="1"/>
  <c r="AO47" i="1" s="1"/>
  <c r="AE46" i="1"/>
  <c r="AP48" i="1" l="1"/>
  <c r="AF48" i="1"/>
  <c r="AF8" i="1" l="1"/>
  <c r="AE48" i="1"/>
  <c r="AO48" i="1"/>
  <c r="AP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Harper</author>
  </authors>
  <commentList>
    <comment ref="A6" authorId="0" shapeId="0" xr:uid="{00000000-0006-0000-0000-000001000000}">
      <text>
        <r>
          <rPr>
            <b/>
            <sz val="9"/>
            <color indexed="81"/>
            <rFont val="Tahoma"/>
            <family val="2"/>
          </rPr>
          <t>Peter Harper:</t>
        </r>
        <r>
          <rPr>
            <sz val="9"/>
            <color indexed="81"/>
            <rFont val="Tahoma"/>
            <family val="2"/>
          </rPr>
          <t xml:space="preserve">
This is a named cell: CONSTOT</t>
        </r>
      </text>
    </comment>
    <comment ref="A7" authorId="0" shapeId="0" xr:uid="{00000000-0006-0000-0000-000002000000}">
      <text>
        <r>
          <rPr>
            <b/>
            <sz val="9"/>
            <color indexed="81"/>
            <rFont val="Tahoma"/>
            <family val="2"/>
          </rPr>
          <t>Peter Harper:</t>
        </r>
        <r>
          <rPr>
            <sz val="9"/>
            <color indexed="81"/>
            <rFont val="Tahoma"/>
            <family val="2"/>
          </rPr>
          <t xml:space="preserve">
A named cell: 
SCENARIOPOP
Assume UK population 2030</t>
        </r>
      </text>
    </comment>
    <comment ref="A9" authorId="0" shapeId="0" xr:uid="{00000000-0006-0000-0000-000003000000}">
      <text>
        <r>
          <rPr>
            <b/>
            <sz val="9"/>
            <color indexed="81"/>
            <rFont val="Tahoma"/>
            <family val="2"/>
          </rPr>
          <t>Peter Harper:</t>
        </r>
        <r>
          <rPr>
            <sz val="9"/>
            <color indexed="81"/>
            <rFont val="Tahoma"/>
            <family val="2"/>
          </rPr>
          <t xml:space="preserve">
Blank cells in this row are dimensionless numbers</t>
        </r>
      </text>
    </comment>
    <comment ref="B10" authorId="0" shapeId="0" xr:uid="{00000000-0006-0000-0000-000004000000}">
      <text>
        <r>
          <rPr>
            <b/>
            <sz val="9"/>
            <color indexed="81"/>
            <rFont val="Tahoma"/>
            <family val="2"/>
          </rPr>
          <t>Peter Harper:</t>
        </r>
        <r>
          <rPr>
            <sz val="9"/>
            <color indexed="81"/>
            <rFont val="Tahoma"/>
            <family val="2"/>
          </rPr>
          <t xml:space="preserve">
Reported as produced by FAOSTAT 2011 unless otherwise noted</t>
        </r>
      </text>
    </comment>
    <comment ref="C10" authorId="0" shapeId="0" xr:uid="{00000000-0006-0000-0000-000005000000}">
      <text>
        <r>
          <rPr>
            <b/>
            <sz val="9"/>
            <color indexed="81"/>
            <rFont val="Tahoma"/>
            <family val="2"/>
          </rPr>
          <t>Peter Harper:</t>
        </r>
        <r>
          <rPr>
            <sz val="9"/>
            <color indexed="81"/>
            <rFont val="Tahoma"/>
            <family val="2"/>
          </rPr>
          <t xml:space="preserve">
From UK Agriculture, http://www.ukagriculture.com/index.cfm</t>
        </r>
      </text>
    </comment>
    <comment ref="H10" authorId="0" shapeId="0" xr:uid="{00000000-0006-0000-0000-000006000000}">
      <text>
        <r>
          <rPr>
            <b/>
            <sz val="9"/>
            <color indexed="81"/>
            <rFont val="Tahoma"/>
            <family val="2"/>
          </rPr>
          <t>Peter Harper:</t>
        </r>
        <r>
          <rPr>
            <sz val="9"/>
            <color indexed="81"/>
            <rFont val="Tahoma"/>
            <family val="2"/>
          </rPr>
          <t xml:space="preserve">
From HLCWG unless otherwise stated</t>
        </r>
      </text>
    </comment>
    <comment ref="L10" authorId="0" shapeId="0" xr:uid="{00000000-0006-0000-0000-000007000000}">
      <text>
        <r>
          <rPr>
            <b/>
            <sz val="9"/>
            <color indexed="81"/>
            <rFont val="Tahoma"/>
            <family val="2"/>
          </rPr>
          <t>Peter Harper:</t>
        </r>
        <r>
          <rPr>
            <sz val="9"/>
            <color indexed="81"/>
            <rFont val="Tahoma"/>
            <family val="2"/>
          </rPr>
          <t xml:space="preserve">
All from UKAgriculture 2011</t>
        </r>
      </text>
    </comment>
    <comment ref="M10" authorId="0" shapeId="0" xr:uid="{00000000-0006-0000-0000-000008000000}">
      <text>
        <r>
          <rPr>
            <b/>
            <sz val="9"/>
            <color indexed="81"/>
            <rFont val="Tahoma"/>
            <family val="2"/>
          </rPr>
          <t>Peter Harper:</t>
        </r>
        <r>
          <rPr>
            <sz val="9"/>
            <color indexed="81"/>
            <rFont val="Tahoma"/>
            <family val="2"/>
          </rPr>
          <t xml:space="preserve">
From FLAGG</t>
        </r>
      </text>
    </comment>
    <comment ref="R10" authorId="0" shapeId="0" xr:uid="{00000000-0006-0000-0000-000009000000}">
      <text>
        <r>
          <rPr>
            <b/>
            <sz val="9"/>
            <color indexed="81"/>
            <rFont val="Tahoma"/>
            <family val="2"/>
          </rPr>
          <t>Peter Harper:</t>
        </r>
        <r>
          <rPr>
            <sz val="9"/>
            <color indexed="81"/>
            <rFont val="Tahoma"/>
            <family val="2"/>
          </rPr>
          <t xml:space="preserve">
Cofids</t>
        </r>
      </text>
    </comment>
    <comment ref="S10" authorId="0" shapeId="0" xr:uid="{00000000-0006-0000-0000-00000A000000}">
      <text>
        <r>
          <rPr>
            <b/>
            <sz val="9"/>
            <color indexed="81"/>
            <rFont val="Tahoma"/>
            <family val="2"/>
          </rPr>
          <t>Peter Harper:</t>
        </r>
        <r>
          <rPr>
            <sz val="9"/>
            <color indexed="81"/>
            <rFont val="Tahoma"/>
            <family val="2"/>
          </rPr>
          <t xml:space="preserve">
Cofids</t>
        </r>
      </text>
    </comment>
    <comment ref="U10" authorId="0" shapeId="0" xr:uid="{00000000-0006-0000-0000-00000B000000}">
      <text>
        <r>
          <rPr>
            <b/>
            <sz val="9"/>
            <color indexed="81"/>
            <rFont val="Tahoma"/>
            <family val="2"/>
          </rPr>
          <t>Peter Harper:</t>
        </r>
        <r>
          <rPr>
            <sz val="9"/>
            <color indexed="81"/>
            <rFont val="Tahoma"/>
            <family val="2"/>
          </rPr>
          <t xml:space="preserve">
from Williams 2006;
some averages taken</t>
        </r>
      </text>
    </comment>
    <comment ref="V10" authorId="0" shapeId="0" xr:uid="{00000000-0006-0000-0000-00000C000000}">
      <text>
        <r>
          <rPr>
            <b/>
            <sz val="9"/>
            <color indexed="81"/>
            <rFont val="Tahoma"/>
            <family val="2"/>
          </rPr>
          <t>Peter Harper:</t>
        </r>
        <r>
          <rPr>
            <sz val="9"/>
            <color indexed="81"/>
            <rFont val="Tahoma"/>
            <family val="2"/>
          </rPr>
          <t xml:space="preserve">
Provisional defaults pending better data</t>
        </r>
      </text>
    </comment>
    <comment ref="W10" authorId="0" shapeId="0" xr:uid="{00000000-0006-0000-0000-00000D000000}">
      <text>
        <r>
          <rPr>
            <b/>
            <sz val="9"/>
            <color indexed="81"/>
            <rFont val="Tahoma"/>
            <family val="2"/>
          </rPr>
          <t>Peter Harper:</t>
        </r>
        <r>
          <rPr>
            <sz val="9"/>
            <color indexed="81"/>
            <rFont val="Tahoma"/>
            <family val="2"/>
          </rPr>
          <t xml:space="preserve">
ADJUSTED FOR LOSSES 60Mt, IN 43Mt OUT
A check on nutritional properties of current mix</t>
        </r>
      </text>
    </comment>
    <comment ref="X10" authorId="0" shapeId="0" xr:uid="{00000000-0006-0000-0000-00000E000000}">
      <text>
        <r>
          <rPr>
            <b/>
            <sz val="9"/>
            <color indexed="81"/>
            <rFont val="Tahoma"/>
            <family val="2"/>
          </rPr>
          <t>Peter Harper:</t>
        </r>
        <r>
          <rPr>
            <sz val="9"/>
            <color indexed="81"/>
            <rFont val="Tahoma"/>
            <family val="2"/>
          </rPr>
          <t xml:space="preserve">
ADJUSTED FOR LOSSES 60Mt, IN 43Mt OUT
A check on nutritional properties of current mix</t>
        </r>
      </text>
    </comment>
    <comment ref="AE10" authorId="0" shapeId="0" xr:uid="{00000000-0006-0000-0000-00000F000000}">
      <text>
        <r>
          <rPr>
            <b/>
            <sz val="9"/>
            <color indexed="81"/>
            <rFont val="Tahoma"/>
            <family val="2"/>
          </rPr>
          <t>Peter Harper:</t>
        </r>
        <r>
          <rPr>
            <sz val="9"/>
            <color indexed="81"/>
            <rFont val="Tahoma"/>
            <family val="2"/>
          </rPr>
          <t xml:space="preserve">
See notes for formula and reasoning</t>
        </r>
      </text>
    </comment>
    <comment ref="AN10" authorId="0" shapeId="0" xr:uid="{00000000-0006-0000-0000-000010000000}">
      <text>
        <r>
          <rPr>
            <b/>
            <sz val="9"/>
            <color indexed="81"/>
            <rFont val="Tahoma"/>
            <family val="2"/>
          </rPr>
          <t>Peter Harper:</t>
        </r>
        <r>
          <rPr>
            <sz val="9"/>
            <color indexed="81"/>
            <rFont val="Tahoma"/>
            <family val="2"/>
          </rPr>
          <t xml:space="preserve">
3
Phil. Trans. R. Soc. B 2010 365, 2835-2851
Keith W. Jaggard, Aiming Qi and Eric S. Ober
Possible changes to arable crop yields by 2050
www.bis.gov.uk/.../dr5a-possible-changes-to-arable-crop-yields.pdf</t>
        </r>
      </text>
    </comment>
    <comment ref="AV10" authorId="0" shapeId="0" xr:uid="{00000000-0006-0000-0000-000011000000}">
      <text>
        <r>
          <rPr>
            <b/>
            <sz val="9"/>
            <color indexed="81"/>
            <rFont val="Tahoma"/>
            <family val="2"/>
          </rPr>
          <t>Peter Harper:</t>
        </r>
        <r>
          <rPr>
            <sz val="9"/>
            <color indexed="81"/>
            <rFont val="Tahoma"/>
            <family val="2"/>
          </rPr>
          <t xml:space="preserve">
From HLCWG</t>
        </r>
      </text>
    </comment>
    <comment ref="C11" authorId="0" shapeId="0" xr:uid="{00000000-0006-0000-0000-000012000000}">
      <text>
        <r>
          <rPr>
            <b/>
            <sz val="9"/>
            <color indexed="81"/>
            <rFont val="Tahoma"/>
            <family val="2"/>
          </rPr>
          <t>Peter Harper:</t>
        </r>
        <r>
          <rPr>
            <sz val="9"/>
            <color indexed="81"/>
            <rFont val="Tahoma"/>
            <family val="2"/>
          </rPr>
          <t xml:space="preserve">
UK agriculture.com gives 40% of wheat to livestock feeds. Probably another 10% goes for other non-food uses (no data). This figure is therefore 50% of reported output. </t>
        </r>
      </text>
    </comment>
    <comment ref="F11" authorId="0" shapeId="0" xr:uid="{00000000-0006-0000-0000-000013000000}">
      <text>
        <r>
          <rPr>
            <b/>
            <sz val="9"/>
            <color indexed="81"/>
            <rFont val="Tahoma"/>
            <family val="2"/>
          </rPr>
          <t>Peter Harper:</t>
        </r>
        <r>
          <rPr>
            <sz val="9"/>
            <color indexed="81"/>
            <rFont val="Tahoma"/>
            <family val="2"/>
          </rPr>
          <t xml:space="preserve">
Import figure ignored as netted off by exports</t>
        </r>
      </text>
    </comment>
    <comment ref="G11" authorId="0" shapeId="0" xr:uid="{00000000-0006-0000-0000-000014000000}">
      <text>
        <r>
          <rPr>
            <b/>
            <sz val="9"/>
            <color indexed="81"/>
            <rFont val="Tahoma"/>
            <family val="2"/>
          </rPr>
          <t>Peter Harper:</t>
        </r>
        <r>
          <rPr>
            <sz val="9"/>
            <color indexed="81"/>
            <rFont val="Tahoma"/>
            <family val="2"/>
          </rPr>
          <t xml:space="preserve">
Cranfield recent data. Adrian Williams, pers. comm. April 2013.</t>
        </r>
      </text>
    </comment>
    <comment ref="AE11" authorId="0" shapeId="0" xr:uid="{00000000-0006-0000-0000-000015000000}">
      <text>
        <r>
          <rPr>
            <b/>
            <sz val="9"/>
            <color indexed="81"/>
            <rFont val="Tahoma"/>
            <family val="2"/>
          </rPr>
          <t>Peter Harper:</t>
        </r>
        <r>
          <rPr>
            <sz val="9"/>
            <color indexed="81"/>
            <rFont val="Tahoma"/>
            <family val="2"/>
          </rPr>
          <t xml:space="preserve">
This case worked out separately on the basis of data in Kindred et al. 2008</t>
        </r>
      </text>
    </comment>
    <comment ref="AO11" authorId="0" shapeId="0" xr:uid="{00000000-0006-0000-0000-000016000000}">
      <text>
        <r>
          <rPr>
            <b/>
            <sz val="9"/>
            <color indexed="81"/>
            <rFont val="Tahoma"/>
            <family val="2"/>
          </rPr>
          <t>Peter Harper:</t>
        </r>
        <r>
          <rPr>
            <sz val="9"/>
            <color indexed="81"/>
            <rFont val="Tahoma"/>
            <family val="2"/>
          </rPr>
          <t xml:space="preserve">
Use of nitrogen inhibitors; waste reduction</t>
        </r>
      </text>
    </comment>
    <comment ref="E15" authorId="0" shapeId="0" xr:uid="{00000000-0006-0000-0000-000017000000}">
      <text>
        <r>
          <rPr>
            <b/>
            <sz val="9"/>
            <color indexed="81"/>
            <rFont val="Tahoma"/>
            <family val="2"/>
          </rPr>
          <t>Peter Harper:</t>
        </r>
        <r>
          <rPr>
            <sz val="9"/>
            <color indexed="81"/>
            <rFont val="Tahoma"/>
            <family val="2"/>
          </rPr>
          <t xml:space="preserve">
http://archive.defra.gov.uk/environment/quality/gm/crops/documents/foodmatters-otherfeeds-1308.pdf</t>
        </r>
      </text>
    </comment>
    <comment ref="E16" authorId="0" shapeId="0" xr:uid="{00000000-0006-0000-0000-000018000000}">
      <text>
        <r>
          <rPr>
            <b/>
            <sz val="9"/>
            <color indexed="81"/>
            <rFont val="Tahoma"/>
            <family val="2"/>
          </rPr>
          <t>Peter Harper:</t>
        </r>
        <r>
          <rPr>
            <sz val="9"/>
            <color indexed="81"/>
            <rFont val="Tahoma"/>
            <family val="2"/>
          </rPr>
          <t xml:space="preserve">
Assume 33% into livestock feed
http://archive.defra.gov.uk/foodfarm/growing/crops/sugar/ind/index.htm</t>
        </r>
      </text>
    </comment>
    <comment ref="U16" authorId="0" shapeId="0" xr:uid="{00000000-0006-0000-0000-000019000000}">
      <text>
        <r>
          <rPr>
            <b/>
            <sz val="9"/>
            <color indexed="81"/>
            <rFont val="Tahoma"/>
            <family val="2"/>
          </rPr>
          <t>Peter Harper:</t>
        </r>
        <r>
          <rPr>
            <sz val="9"/>
            <color indexed="81"/>
            <rFont val="Tahoma"/>
            <family val="2"/>
          </rPr>
          <t xml:space="preserve">
Assumed as potatoes</t>
        </r>
      </text>
    </comment>
    <comment ref="E17" authorId="0" shapeId="0" xr:uid="{00000000-0006-0000-0000-00001A000000}">
      <text>
        <r>
          <rPr>
            <b/>
            <sz val="9"/>
            <color indexed="81"/>
            <rFont val="Tahoma"/>
            <family val="2"/>
          </rPr>
          <t>Peter Harper:</t>
        </r>
        <r>
          <rPr>
            <sz val="9"/>
            <color indexed="81"/>
            <rFont val="Tahoma"/>
            <family val="2"/>
          </rPr>
          <t xml:space="preserve">
Assume 10% used for feed</t>
        </r>
      </text>
    </comment>
    <comment ref="G17" authorId="0" shapeId="0" xr:uid="{00000000-0006-0000-0000-00001B000000}">
      <text>
        <r>
          <rPr>
            <b/>
            <sz val="9"/>
            <color indexed="81"/>
            <rFont val="Tahoma"/>
            <family val="2"/>
          </rPr>
          <t>Peter Harper:</t>
        </r>
        <r>
          <rPr>
            <sz val="9"/>
            <color indexed="81"/>
            <rFont val="Tahoma"/>
            <family val="2"/>
          </rPr>
          <t xml:space="preserve">
Williams et al 2009</t>
        </r>
      </text>
    </comment>
    <comment ref="H17" authorId="0" shapeId="0" xr:uid="{00000000-0006-0000-0000-00001C000000}">
      <text>
        <r>
          <rPr>
            <b/>
            <sz val="9"/>
            <color indexed="81"/>
            <rFont val="Tahoma"/>
            <family val="2"/>
          </rPr>
          <t>Peter Harper:</t>
        </r>
        <r>
          <rPr>
            <sz val="9"/>
            <color indexed="81"/>
            <rFont val="Tahoma"/>
            <family val="2"/>
          </rPr>
          <t xml:space="preserve">
Williams et al 2009 Israeli potatoes</t>
        </r>
      </text>
    </comment>
    <comment ref="C18" authorId="0" shapeId="0" xr:uid="{00000000-0006-0000-0000-00001D000000}">
      <text>
        <r>
          <rPr>
            <b/>
            <sz val="9"/>
            <color indexed="81"/>
            <rFont val="Tahoma"/>
            <family val="2"/>
          </rPr>
          <t>Peter Harper:</t>
        </r>
        <r>
          <rPr>
            <sz val="9"/>
            <color indexed="81"/>
            <rFont val="Tahoma"/>
            <family val="2"/>
          </rPr>
          <t xml:space="preserve">
Assume 20% used for direct. Rest is stock feed.</t>
        </r>
      </text>
    </comment>
    <comment ref="P18" authorId="0" shapeId="0" xr:uid="{00000000-0006-0000-0000-00001E000000}">
      <text>
        <r>
          <rPr>
            <b/>
            <sz val="9"/>
            <color indexed="81"/>
            <rFont val="Tahoma"/>
            <family val="2"/>
          </rPr>
          <t>Peter Harper:</t>
        </r>
        <r>
          <rPr>
            <sz val="9"/>
            <color indexed="81"/>
            <rFont val="Tahoma"/>
            <family val="2"/>
          </rPr>
          <t xml:space="preserve">
Yield of 3.75t'ha reported by www.ukagriculture.com/crops/field_beans_uk.cfm</t>
        </r>
      </text>
    </comment>
    <comment ref="S18" authorId="0" shapeId="0" xr:uid="{00000000-0006-0000-0000-00001F000000}">
      <text>
        <r>
          <rPr>
            <b/>
            <sz val="9"/>
            <color indexed="81"/>
            <rFont val="Tahoma"/>
            <family val="2"/>
          </rPr>
          <t>Peter Harper:</t>
        </r>
        <r>
          <rPr>
            <sz val="9"/>
            <color indexed="81"/>
            <rFont val="Tahoma"/>
            <family val="2"/>
          </rPr>
          <t xml:space="preserve">
assumed dry weight
</t>
        </r>
      </text>
    </comment>
    <comment ref="B19" authorId="0" shapeId="0" xr:uid="{00000000-0006-0000-0000-000020000000}">
      <text>
        <r>
          <rPr>
            <b/>
            <sz val="9"/>
            <color indexed="81"/>
            <rFont val="Tahoma"/>
            <family val="2"/>
          </rPr>
          <t>Peter Harper:</t>
        </r>
        <r>
          <rPr>
            <sz val="9"/>
            <color indexed="81"/>
            <rFont val="Tahoma"/>
            <family val="2"/>
          </rPr>
          <t xml:space="preserve">
average 2007-2010 
UK agriculture</t>
        </r>
      </text>
    </comment>
    <comment ref="H19" authorId="0" shapeId="0" xr:uid="{00000000-0006-0000-0000-000021000000}">
      <text>
        <r>
          <rPr>
            <b/>
            <sz val="9"/>
            <color indexed="81"/>
            <rFont val="Tahoma"/>
            <family val="2"/>
          </rPr>
          <t>Peter Harper:</t>
        </r>
        <r>
          <rPr>
            <sz val="9"/>
            <color indexed="81"/>
            <rFont val="Tahoma"/>
            <family val="2"/>
          </rPr>
          <t xml:space="preserve">
HLCWG gives 0.65 EU and 0.21 RoW. Varied statistics, here fresh and dried are mixed.</t>
        </r>
      </text>
    </comment>
    <comment ref="L19" authorId="0" shapeId="0" xr:uid="{00000000-0006-0000-0000-000022000000}">
      <text>
        <r>
          <rPr>
            <b/>
            <sz val="9"/>
            <color indexed="81"/>
            <rFont val="Tahoma"/>
            <family val="2"/>
          </rPr>
          <t>Peter Harper:</t>
        </r>
        <r>
          <rPr>
            <sz val="9"/>
            <color indexed="81"/>
            <rFont val="Tahoma"/>
            <family val="2"/>
          </rPr>
          <t xml:space="preserve">
average 2007-2010 UK agriculture</t>
        </r>
      </text>
    </comment>
    <comment ref="G20" authorId="0" shapeId="0" xr:uid="{00000000-0006-0000-0000-000023000000}">
      <text>
        <r>
          <rPr>
            <b/>
            <sz val="9"/>
            <color indexed="81"/>
            <rFont val="Tahoma"/>
            <family val="2"/>
          </rPr>
          <t>Peter Harper:</t>
        </r>
        <r>
          <rPr>
            <sz val="9"/>
            <color indexed="81"/>
            <rFont val="Tahoma"/>
            <family val="2"/>
          </rPr>
          <t xml:space="preserve">
A varied group, difficult to generalise. These are provisional figyres derived from HLCWG</t>
        </r>
      </text>
    </comment>
    <comment ref="M20" authorId="0" shapeId="0" xr:uid="{00000000-0006-0000-0000-000024000000}">
      <text>
        <r>
          <rPr>
            <b/>
            <sz val="9"/>
            <color indexed="81"/>
            <rFont val="Tahoma"/>
            <family val="2"/>
          </rPr>
          <t>Peter Harper:</t>
        </r>
        <r>
          <rPr>
            <sz val="9"/>
            <color indexed="81"/>
            <rFont val="Tahoma"/>
            <family val="2"/>
          </rPr>
          <t xml:space="preserve">
Adslay figure for OS 'orchards'</t>
        </r>
      </text>
    </comment>
    <comment ref="U20" authorId="0" shapeId="0" xr:uid="{00000000-0006-0000-0000-000025000000}">
      <text>
        <r>
          <rPr>
            <b/>
            <sz val="9"/>
            <color indexed="81"/>
            <rFont val="Tahoma"/>
            <family val="2"/>
          </rPr>
          <t>Peter Harper:</t>
        </r>
        <r>
          <rPr>
            <sz val="9"/>
            <color indexed="81"/>
            <rFont val="Tahoma"/>
            <family val="2"/>
          </rPr>
          <t xml:space="preserve">
No data. Allows for higher inputs for transport</t>
        </r>
      </text>
    </comment>
    <comment ref="AN20" authorId="0" shapeId="0" xr:uid="{00000000-0006-0000-0000-000026000000}">
      <text>
        <r>
          <rPr>
            <b/>
            <sz val="9"/>
            <color indexed="81"/>
            <rFont val="Tahoma"/>
            <family val="2"/>
          </rPr>
          <t>Peter Harper:</t>
        </r>
        <r>
          <rPr>
            <sz val="9"/>
            <color indexed="81"/>
            <rFont val="Tahoma"/>
            <family val="2"/>
          </rPr>
          <t xml:space="preserve">
default 20% improvement based on paper referred to</t>
        </r>
      </text>
    </comment>
    <comment ref="H21" authorId="0" shapeId="0" xr:uid="{00000000-0006-0000-0000-000027000000}">
      <text>
        <r>
          <rPr>
            <b/>
            <sz val="9"/>
            <color indexed="81"/>
            <rFont val="Tahoma"/>
            <family val="2"/>
          </rPr>
          <t>Peter Harper:</t>
        </r>
        <r>
          <rPr>
            <sz val="9"/>
            <color indexed="81"/>
            <rFont val="Tahoma"/>
            <family val="2"/>
          </rPr>
          <t xml:space="preserve">
Allows for unkown fraction of airfreighted veg</t>
        </r>
      </text>
    </comment>
    <comment ref="M21" authorId="0" shapeId="0" xr:uid="{00000000-0006-0000-0000-000028000000}">
      <text>
        <r>
          <rPr>
            <b/>
            <sz val="9"/>
            <color indexed="81"/>
            <rFont val="Tahoma"/>
            <family val="2"/>
          </rPr>
          <t>Peter Harper:</t>
        </r>
        <r>
          <rPr>
            <sz val="9"/>
            <color indexed="81"/>
            <rFont val="Tahoma"/>
            <family val="2"/>
          </rPr>
          <t xml:space="preserve">
Assume provisionally equal to UK area</t>
        </r>
      </text>
    </comment>
    <comment ref="B22" authorId="0" shapeId="0" xr:uid="{00000000-0006-0000-0000-000029000000}">
      <text>
        <r>
          <rPr>
            <b/>
            <sz val="9"/>
            <color indexed="81"/>
            <rFont val="Tahoma"/>
            <family val="2"/>
          </rPr>
          <t>http://www.ahdb.org.uk/publications/documents/FeedingBritain.pdf</t>
        </r>
      </text>
    </comment>
    <comment ref="M22" authorId="0" shapeId="0" xr:uid="{00000000-0006-0000-0000-00002A000000}">
      <text>
        <r>
          <rPr>
            <b/>
            <sz val="9"/>
            <color indexed="81"/>
            <rFont val="Tahoma"/>
            <family val="2"/>
          </rPr>
          <t>Peter Harper:</t>
        </r>
        <r>
          <rPr>
            <sz val="9"/>
            <color indexed="81"/>
            <rFont val="Tahoma"/>
            <family val="2"/>
          </rPr>
          <t xml:space="preserve">
assumed twice UK</t>
        </r>
      </text>
    </comment>
    <comment ref="A23" authorId="0" shapeId="0" xr:uid="{00000000-0006-0000-0000-00002B000000}">
      <text>
        <r>
          <rPr>
            <b/>
            <sz val="9"/>
            <color indexed="81"/>
            <rFont val="Tahoma"/>
            <family val="2"/>
          </rPr>
          <t>An insertion to allow for a category that must exist, but of unknown size and composition. Probably a small term</t>
        </r>
      </text>
    </comment>
    <comment ref="AV23" authorId="0" shapeId="0" xr:uid="{00000000-0006-0000-0000-00002C000000}">
      <text>
        <r>
          <rPr>
            <b/>
            <sz val="9"/>
            <color indexed="81"/>
            <rFont val="Tahoma"/>
            <family val="2"/>
          </rPr>
          <t>Peter Harper:</t>
        </r>
        <r>
          <rPr>
            <sz val="9"/>
            <color indexed="81"/>
            <rFont val="Tahoma"/>
            <family val="2"/>
          </rPr>
          <t xml:space="preserve">
guesstimate</t>
        </r>
      </text>
    </comment>
    <comment ref="E25" authorId="0" shapeId="0" xr:uid="{00000000-0006-0000-0000-00002D000000}">
      <text>
        <r>
          <rPr>
            <b/>
            <sz val="9"/>
            <color indexed="81"/>
            <rFont val="Tahoma"/>
            <family val="2"/>
          </rPr>
          <t>Peter Harper:</t>
        </r>
        <r>
          <rPr>
            <sz val="9"/>
            <color indexed="81"/>
            <rFont val="Tahoma"/>
            <family val="2"/>
          </rPr>
          <t xml:space="preserve">
http://archive.defra.gov.uk/environment/quality/gm/crops/documents/foodmatters-otherfeeds-1308.pdf 50% stock</t>
        </r>
      </text>
    </comment>
    <comment ref="M25" authorId="0" shapeId="0" xr:uid="{00000000-0006-0000-0000-00002E000000}">
      <text>
        <r>
          <rPr>
            <b/>
            <sz val="9"/>
            <color indexed="81"/>
            <rFont val="Tahoma"/>
            <family val="2"/>
          </rPr>
          <t>Peter Harper:</t>
        </r>
        <r>
          <rPr>
            <sz val="9"/>
            <color indexed="81"/>
            <rFont val="Tahoma"/>
            <family val="2"/>
          </rPr>
          <t xml:space="preserve">
Audsley gives 769 for 'plantations'. Assme half for oilds, half for tea, coffee etc</t>
        </r>
      </text>
    </comment>
    <comment ref="V25" authorId="0" shapeId="0" xr:uid="{00000000-0006-0000-0000-00002F000000}">
      <text>
        <r>
          <rPr>
            <b/>
            <sz val="9"/>
            <color indexed="81"/>
            <rFont val="Tahoma"/>
            <family val="2"/>
          </rPr>
          <t>Peter Harper:</t>
        </r>
        <r>
          <rPr>
            <sz val="9"/>
            <color indexed="81"/>
            <rFont val="Tahoma"/>
            <family val="2"/>
          </rPr>
          <t xml:space="preserve">
A lower default to allow for more transport and pre-processing</t>
        </r>
      </text>
    </comment>
    <comment ref="U26" authorId="0" shapeId="0" xr:uid="{00000000-0006-0000-0000-000030000000}">
      <text>
        <r>
          <rPr>
            <b/>
            <sz val="9"/>
            <color indexed="81"/>
            <rFont val="Tahoma"/>
            <family val="2"/>
          </rPr>
          <t>Peter Harper:</t>
        </r>
        <r>
          <rPr>
            <sz val="9"/>
            <color indexed="81"/>
            <rFont val="Tahoma"/>
            <family val="2"/>
          </rPr>
          <t xml:space="preserve">
This conforms with data from Zhang et al., 2011. See notes</t>
        </r>
      </text>
    </comment>
    <comment ref="V26" authorId="0" shapeId="0" xr:uid="{00000000-0006-0000-0000-000031000000}">
      <text>
        <r>
          <rPr>
            <b/>
            <sz val="9"/>
            <color indexed="81"/>
            <rFont val="Tahoma"/>
            <family val="2"/>
          </rPr>
          <t>Peter Harper:</t>
        </r>
        <r>
          <rPr>
            <sz val="9"/>
            <color indexed="81"/>
            <rFont val="Tahoma"/>
            <family val="2"/>
          </rPr>
          <t xml:space="preserve">
Paddy rice is unusual in having a methane component, so N2O proportionately less. See notes</t>
        </r>
      </text>
    </comment>
    <comment ref="AE26" authorId="0" shapeId="0" xr:uid="{00000000-0006-0000-0000-000032000000}">
      <text>
        <r>
          <rPr>
            <b/>
            <sz val="9"/>
            <color indexed="81"/>
            <rFont val="Tahoma"/>
            <family val="2"/>
          </rPr>
          <t>Peter Harper:</t>
        </r>
        <r>
          <rPr>
            <sz val="9"/>
            <color indexed="81"/>
            <rFont val="Tahoma"/>
            <family val="2"/>
          </rPr>
          <t xml:space="preserve">
Rice differs on account of methane component</t>
        </r>
      </text>
    </comment>
    <comment ref="M27" authorId="0" shapeId="0" xr:uid="{00000000-0006-0000-0000-000033000000}">
      <text>
        <r>
          <rPr>
            <b/>
            <sz val="9"/>
            <color indexed="81"/>
            <rFont val="Tahoma"/>
            <family val="2"/>
          </rPr>
          <t>Peter Harper:</t>
        </r>
        <r>
          <rPr>
            <sz val="9"/>
            <color indexed="81"/>
            <rFont val="Tahoma"/>
            <family val="2"/>
          </rPr>
          <t xml:space="preserve">
Audsley gives 769 for 'plantations'. Assme half for oilds, half for tea, coffee etc</t>
        </r>
      </text>
    </comment>
    <comment ref="E28" authorId="0" shapeId="0" xr:uid="{00000000-0006-0000-0000-000034000000}">
      <text>
        <r>
          <rPr>
            <b/>
            <sz val="9"/>
            <color indexed="81"/>
            <rFont val="Tahoma"/>
            <family val="2"/>
          </rPr>
          <t>Peter Harper:</t>
        </r>
        <r>
          <rPr>
            <sz val="9"/>
            <color indexed="81"/>
            <rFont val="Tahoma"/>
            <family val="2"/>
          </rPr>
          <t xml:space="preserve">
http://archive.defra.gov.uk/environment/quality/gm/crops/documents/foodmatters-otherfeeds-1308.pdf</t>
        </r>
      </text>
    </comment>
    <comment ref="M28" authorId="0" shapeId="0" xr:uid="{00000000-0006-0000-0000-000035000000}">
      <text>
        <r>
          <rPr>
            <b/>
            <sz val="9"/>
            <color indexed="81"/>
            <rFont val="Tahoma"/>
            <family val="2"/>
          </rPr>
          <t>Peter Harper:</t>
        </r>
        <r>
          <rPr>
            <sz val="9"/>
            <color indexed="81"/>
            <rFont val="Tahoma"/>
            <family val="2"/>
          </rPr>
          <t xml:space="preserve">
Imported maize grain or flakes at about 8t/ha</t>
        </r>
      </text>
    </comment>
    <comment ref="P29" authorId="0" shapeId="0" xr:uid="{00000000-0006-0000-0000-000036000000}">
      <text>
        <r>
          <rPr>
            <b/>
            <sz val="9"/>
            <color indexed="81"/>
            <rFont val="Tahoma"/>
            <family val="2"/>
          </rPr>
          <t>Peter Harper:</t>
        </r>
        <r>
          <rPr>
            <sz val="9"/>
            <color indexed="81"/>
            <rFont val="Tahoma"/>
            <family val="2"/>
          </rPr>
          <t xml:space="preserve">
Check land int for nuts and seeds</t>
        </r>
      </text>
    </comment>
    <comment ref="E30" authorId="0" shapeId="0" xr:uid="{00000000-0006-0000-0000-000037000000}">
      <text>
        <r>
          <rPr>
            <b/>
            <sz val="9"/>
            <color indexed="81"/>
            <rFont val="Tahoma"/>
            <family val="2"/>
          </rPr>
          <t>Peter Harper:</t>
        </r>
        <r>
          <rPr>
            <sz val="9"/>
            <color indexed="81"/>
            <rFont val="Tahoma"/>
            <family val="2"/>
          </rPr>
          <t xml:space="preserve">
No data.Assume 10% for feed as molasses</t>
        </r>
      </text>
    </comment>
    <comment ref="D31" authorId="0" shapeId="0" xr:uid="{00000000-0006-0000-0000-000038000000}">
      <text>
        <r>
          <rPr>
            <b/>
            <sz val="9"/>
            <color indexed="81"/>
            <rFont val="Tahoma"/>
            <family val="2"/>
          </rPr>
          <t>Peter Harper:</t>
        </r>
        <r>
          <rPr>
            <sz val="9"/>
            <color indexed="81"/>
            <rFont val="Tahoma"/>
            <family val="2"/>
          </rPr>
          <t xml:space="preserve">
From FAOSTAT 2011, divided by 10 to correct for water</t>
        </r>
      </text>
    </comment>
    <comment ref="A32" authorId="0" shapeId="0" xr:uid="{00000000-0006-0000-0000-000039000000}">
      <text>
        <r>
          <rPr>
            <b/>
            <sz val="9"/>
            <color indexed="81"/>
            <rFont val="Tahoma"/>
            <family val="2"/>
          </rPr>
          <t>Peter Harper:</t>
        </r>
        <r>
          <rPr>
            <sz val="9"/>
            <color indexed="81"/>
            <rFont val="Tahoma"/>
            <family val="2"/>
          </rPr>
          <t xml:space="preserve">
This is an estimate inserted to allow the category pending further data</t>
        </r>
      </text>
    </comment>
    <comment ref="AV32" authorId="0" shapeId="0" xr:uid="{00000000-0006-0000-0000-00003A000000}">
      <text>
        <r>
          <rPr>
            <b/>
            <sz val="9"/>
            <color indexed="81"/>
            <rFont val="Tahoma"/>
            <family val="2"/>
          </rPr>
          <t>Peter Harper:</t>
        </r>
        <r>
          <rPr>
            <sz val="9"/>
            <color indexed="81"/>
            <rFont val="Tahoma"/>
            <family val="2"/>
          </rPr>
          <t xml:space="preserve">
guesstimate</t>
        </r>
      </text>
    </comment>
    <comment ref="B35" authorId="0" shapeId="0" xr:uid="{00000000-0006-0000-0000-00003B000000}">
      <text>
        <r>
          <rPr>
            <b/>
            <sz val="9"/>
            <color indexed="81"/>
            <rFont val="Tahoma"/>
            <family val="2"/>
          </rPr>
          <t>Peter Harper:</t>
        </r>
        <r>
          <rPr>
            <sz val="9"/>
            <color indexed="81"/>
            <rFont val="Tahoma"/>
            <family val="2"/>
          </rPr>
          <t xml:space="preserve">
To avoid distortion of data by large water content, #litres is given as dray matter at 13%
</t>
        </r>
      </text>
    </comment>
    <comment ref="D35" authorId="0" shapeId="0" xr:uid="{00000000-0006-0000-0000-00003C000000}">
      <text>
        <r>
          <rPr>
            <b/>
            <sz val="9"/>
            <color indexed="81"/>
            <rFont val="Tahoma"/>
            <family val="2"/>
          </rPr>
          <t>Peter Harper:</t>
        </r>
        <r>
          <rPr>
            <sz val="9"/>
            <color indexed="81"/>
            <rFont val="Tahoma"/>
            <family val="2"/>
          </rPr>
          <t xml:space="preserve">
http://assets.wwf.org.uk/downloads/environmentalimpacts_ukfoodconsumption.pdf Butter and cheese. FAOSTAT gives this value for cheese in 2011.</t>
        </r>
      </text>
    </comment>
    <comment ref="H35" authorId="0" shapeId="0" xr:uid="{00000000-0006-0000-0000-00003D000000}">
      <text>
        <r>
          <rPr>
            <b/>
            <sz val="9"/>
            <color indexed="81"/>
            <rFont val="Tahoma"/>
            <family val="2"/>
          </rPr>
          <t>Peter Harper:</t>
        </r>
        <r>
          <rPr>
            <sz val="9"/>
            <color indexed="81"/>
            <rFont val="Tahoma"/>
            <family val="2"/>
          </rPr>
          <t xml:space="preserve">
Global Change Biology (2013) 19, 3–18, doi: 10.1111/j.1365-2486.2012.02786
Bellarby et al</t>
        </r>
      </text>
    </comment>
    <comment ref="O35" authorId="0" shapeId="0" xr:uid="{00000000-0006-0000-0000-00003E000000}">
      <text>
        <r>
          <rPr>
            <b/>
            <sz val="9"/>
            <color indexed="81"/>
            <rFont val="Tahoma"/>
            <family val="2"/>
          </rPr>
          <t>Peter Harper:</t>
        </r>
        <r>
          <rPr>
            <sz val="9"/>
            <color indexed="81"/>
            <rFont val="Tahoma"/>
            <family val="2"/>
          </rPr>
          <t xml:space="preserve">
Inserted to allow for recent diary imports, pro-rated</t>
        </r>
      </text>
    </comment>
    <comment ref="U35" authorId="0" shapeId="0" xr:uid="{00000000-0006-0000-0000-00003F000000}">
      <text>
        <r>
          <rPr>
            <b/>
            <sz val="9"/>
            <color indexed="81"/>
            <rFont val="Tahoma"/>
            <family val="2"/>
          </rPr>
          <t>Peter Harper:</t>
        </r>
        <r>
          <rPr>
            <sz val="9"/>
            <color indexed="81"/>
            <rFont val="Tahoma"/>
            <family val="2"/>
          </rPr>
          <t xml:space="preserve">
all from Williams 2006</t>
        </r>
      </text>
    </comment>
    <comment ref="V35" authorId="0" shapeId="0" xr:uid="{00000000-0006-0000-0000-000040000000}">
      <text>
        <r>
          <rPr>
            <b/>
            <sz val="9"/>
            <color indexed="81"/>
            <rFont val="Tahoma"/>
            <family val="2"/>
          </rPr>
          <t>Peter Harper:</t>
        </r>
        <r>
          <rPr>
            <sz val="9"/>
            <color indexed="81"/>
            <rFont val="Tahoma"/>
            <family val="2"/>
          </rPr>
          <t xml:space="preserve">
From Williams 2006</t>
        </r>
      </text>
    </comment>
    <comment ref="AE35" authorId="0" shapeId="0" xr:uid="{00000000-0006-0000-0000-000041000000}">
      <text>
        <r>
          <rPr>
            <b/>
            <sz val="9"/>
            <color indexed="81"/>
            <rFont val="Tahoma"/>
            <family val="2"/>
          </rPr>
          <t>Peter Harper:</t>
        </r>
        <r>
          <rPr>
            <sz val="9"/>
            <color indexed="81"/>
            <rFont val="Tahoma"/>
            <family val="2"/>
          </rPr>
          <t xml:space="preserve">
 These CEFs are totals minus energy and a proportion of N2O
</t>
        </r>
      </text>
    </comment>
    <comment ref="AN35" authorId="0" shapeId="0" xr:uid="{00000000-0006-0000-0000-000042000000}">
      <text>
        <r>
          <rPr>
            <b/>
            <sz val="9"/>
            <color indexed="81"/>
            <rFont val="Tahoma"/>
            <family val="2"/>
          </rPr>
          <t>Peter Harper:</t>
        </r>
        <r>
          <rPr>
            <sz val="9"/>
            <color indexed="81"/>
            <rFont val="Tahoma"/>
            <family val="2"/>
          </rPr>
          <t xml:space="preserve">
Consistent with recent improvements in grass, breeding and feed conversion efficiency, as per FLAGG</t>
        </r>
      </text>
    </comment>
    <comment ref="AO35" authorId="0" shapeId="0" xr:uid="{00000000-0006-0000-0000-000043000000}">
      <text>
        <r>
          <rPr>
            <b/>
            <sz val="9"/>
            <color indexed="81"/>
            <rFont val="Tahoma"/>
            <family val="2"/>
          </rPr>
          <t>Peter Harper:</t>
        </r>
        <r>
          <rPr>
            <sz val="9"/>
            <color indexed="81"/>
            <rFont val="Tahoma"/>
            <family val="2"/>
          </rPr>
          <t xml:space="preserve">
N-inhibitor + CH4-inhibiting additives + AD for manure and waste reduction
</t>
        </r>
      </text>
    </comment>
    <comment ref="H36" authorId="0" shapeId="0" xr:uid="{00000000-0006-0000-0000-000044000000}">
      <text>
        <r>
          <rPr>
            <b/>
            <sz val="9"/>
            <color indexed="81"/>
            <rFont val="Tahoma"/>
            <family val="2"/>
          </rPr>
          <t>Peter Harper:</t>
        </r>
        <r>
          <rPr>
            <sz val="9"/>
            <color indexed="81"/>
            <rFont val="Tahoma"/>
            <family val="2"/>
          </rPr>
          <t xml:space="preserve">
Slightly higher estimate to allow for very high CEFs for Brazilian beef</t>
        </r>
      </text>
    </comment>
    <comment ref="AE38" authorId="0" shapeId="0" xr:uid="{00000000-0006-0000-0000-000045000000}">
      <text>
        <r>
          <rPr>
            <b/>
            <sz val="9"/>
            <color indexed="81"/>
            <rFont val="Tahoma"/>
            <family val="2"/>
          </rPr>
          <t>Peter Harper:</t>
        </r>
        <r>
          <rPr>
            <sz val="9"/>
            <color indexed="81"/>
            <rFont val="Tahoma"/>
            <family val="2"/>
          </rPr>
          <t xml:space="preserve">
The non-grazing livestock follow the crop pattern</t>
        </r>
      </text>
    </comment>
    <comment ref="AO38" authorId="0" shapeId="0" xr:uid="{00000000-0006-0000-0000-000046000000}">
      <text>
        <r>
          <rPr>
            <b/>
            <sz val="9"/>
            <color indexed="81"/>
            <rFont val="Tahoma"/>
            <family val="2"/>
          </rPr>
          <t>Peter Harper:</t>
        </r>
        <r>
          <rPr>
            <sz val="9"/>
            <color indexed="81"/>
            <rFont val="Tahoma"/>
            <family val="2"/>
          </rPr>
          <t xml:space="preserve">
AD for manure, after HLCWG, waste reduction and N inhibitors for feed</t>
        </r>
      </text>
    </comment>
    <comment ref="D40" authorId="0" shapeId="0" xr:uid="{00000000-0006-0000-0000-000047000000}">
      <text>
        <r>
          <rPr>
            <b/>
            <sz val="9"/>
            <color indexed="81"/>
            <rFont val="Tahoma"/>
            <family val="2"/>
          </rPr>
          <t>Peter Harper:</t>
        </r>
        <r>
          <rPr>
            <sz val="9"/>
            <color indexed="81"/>
            <rFont val="Tahoma"/>
            <family val="2"/>
          </rPr>
          <t xml:space="preserve">
http://assets.wwf.org.uk/downloads/environmentalimpacts_ukfoodconsumption.pdf</t>
        </r>
      </text>
    </comment>
    <comment ref="G41" authorId="0" shapeId="0" xr:uid="{00000000-0006-0000-0000-000048000000}">
      <text>
        <r>
          <rPr>
            <b/>
            <sz val="9"/>
            <color indexed="81"/>
            <rFont val="Tahoma"/>
            <family val="2"/>
          </rPr>
          <t>Peter Harper:</t>
        </r>
        <r>
          <rPr>
            <sz val="9"/>
            <color indexed="81"/>
            <rFont val="Tahoma"/>
            <family val="2"/>
          </rPr>
          <t xml:space="preserve">
http://www.esu-services.ch/fileadmin/download/buchspies-2011-LCA-fish.pdf</t>
        </r>
      </text>
    </comment>
    <comment ref="U41" authorId="0" shapeId="0" xr:uid="{00000000-0006-0000-0000-000049000000}">
      <text>
        <r>
          <rPr>
            <b/>
            <sz val="9"/>
            <color indexed="81"/>
            <rFont val="Tahoma"/>
            <family val="2"/>
          </rPr>
          <t>Peter Harper:</t>
        </r>
        <r>
          <rPr>
            <sz val="9"/>
            <color indexed="81"/>
            <rFont val="Tahoma"/>
            <family val="2"/>
          </rPr>
          <t xml:space="preserve">
Only energy inputs</t>
        </r>
      </text>
    </comment>
    <comment ref="BA41" authorId="0" shapeId="0" xr:uid="{00000000-0006-0000-0000-00004A000000}">
      <text>
        <r>
          <rPr>
            <b/>
            <sz val="9"/>
            <color indexed="81"/>
            <rFont val="Tahoma"/>
            <family val="2"/>
          </rPr>
          <t>Peter Harper:</t>
        </r>
        <r>
          <rPr>
            <sz val="9"/>
            <color indexed="81"/>
            <rFont val="Tahoma"/>
            <family val="2"/>
          </rPr>
          <t xml:space="preserve">
From HLCWG</t>
        </r>
      </text>
    </comment>
    <comment ref="P42" authorId="0" shapeId="0" xr:uid="{00000000-0006-0000-0000-00004B000000}">
      <text>
        <r>
          <rPr>
            <b/>
            <sz val="9"/>
            <color indexed="81"/>
            <rFont val="Tahoma"/>
            <family val="2"/>
          </rPr>
          <t>Peter Harper:</t>
        </r>
        <r>
          <rPr>
            <sz val="9"/>
            <color indexed="81"/>
            <rFont val="Tahoma"/>
            <family val="2"/>
          </rPr>
          <t xml:space="preserve">
Assume as eggs
</t>
        </r>
      </text>
    </comment>
    <comment ref="U42" authorId="0" shapeId="0" xr:uid="{00000000-0006-0000-0000-00004C000000}">
      <text>
        <r>
          <rPr>
            <b/>
            <sz val="9"/>
            <color indexed="81"/>
            <rFont val="Tahoma"/>
            <family val="2"/>
          </rPr>
          <t>Peter Harper:</t>
        </r>
        <r>
          <rPr>
            <sz val="9"/>
            <color indexed="81"/>
            <rFont val="Tahoma"/>
            <family val="2"/>
          </rPr>
          <t xml:space="preserve">
Regarded like eggs</t>
        </r>
      </text>
    </comment>
    <comment ref="AV42" authorId="0" shapeId="0" xr:uid="{00000000-0006-0000-0000-00004D000000}">
      <text>
        <r>
          <rPr>
            <b/>
            <sz val="9"/>
            <color indexed="81"/>
            <rFont val="Tahoma"/>
            <family val="2"/>
          </rPr>
          <t>Peter Harper:</t>
        </r>
        <r>
          <rPr>
            <sz val="9"/>
            <color indexed="81"/>
            <rFont val="Tahoma"/>
            <family val="2"/>
          </rPr>
          <t xml:space="preserve">
guesstimate, no data</t>
        </r>
      </text>
    </comment>
    <comment ref="A43" authorId="0" shapeId="0" xr:uid="{00000000-0006-0000-0000-00004E000000}">
      <text>
        <r>
          <rPr>
            <b/>
            <sz val="9"/>
            <color indexed="81"/>
            <rFont val="Tahoma"/>
            <family val="2"/>
          </rPr>
          <t>Peter Harper:</t>
        </r>
        <r>
          <rPr>
            <sz val="9"/>
            <color indexed="81"/>
            <rFont val="Tahoma"/>
            <family val="2"/>
          </rPr>
          <t xml:space="preserve">
Because these are unknown, but must exist, they are estimated in terms of the difference between the bottom-up estimates and the top-down totals given in Audsley 2010.</t>
        </r>
      </text>
    </comment>
    <comment ref="AJ46" authorId="0" shapeId="0" xr:uid="{00000000-0006-0000-0000-00004F000000}">
      <text>
        <r>
          <rPr>
            <b/>
            <sz val="9"/>
            <color indexed="81"/>
            <rFont val="Tahoma"/>
            <family val="2"/>
          </rPr>
          <t>Peter Harper:</t>
        </r>
        <r>
          <rPr>
            <sz val="9"/>
            <color indexed="81"/>
            <rFont val="Tahoma"/>
            <family val="2"/>
          </rPr>
          <t xml:space="preserve">
Assumes same land intensity as UK crops</t>
        </r>
      </text>
    </comment>
    <comment ref="AW46" authorId="0" shapeId="0" xr:uid="{00000000-0006-0000-0000-000050000000}">
      <text>
        <r>
          <rPr>
            <b/>
            <sz val="9"/>
            <color indexed="81"/>
            <rFont val="Tahoma"/>
            <family val="2"/>
          </rPr>
          <t>Peter Harper:</t>
        </r>
        <r>
          <rPr>
            <sz val="9"/>
            <color indexed="81"/>
            <rFont val="Tahoma"/>
            <family val="2"/>
          </rPr>
          <t xml:space="preserve">
These calculated results are higher than in HLCWG.</t>
        </r>
      </text>
    </comment>
    <comment ref="K47" authorId="0" shapeId="0" xr:uid="{00000000-0006-0000-0000-000051000000}">
      <text>
        <r>
          <rPr>
            <b/>
            <sz val="9"/>
            <color indexed="81"/>
            <rFont val="Tahoma"/>
            <family val="2"/>
          </rPr>
          <t>Peter Harper:</t>
        </r>
        <r>
          <rPr>
            <sz val="9"/>
            <color indexed="81"/>
            <rFont val="Tahoma"/>
            <family val="2"/>
          </rPr>
          <t xml:space="preserve">
This differs from FLAGG probably on account of recent increase in milk and products</t>
        </r>
      </text>
    </comment>
    <comment ref="F48" authorId="0" shapeId="0" xr:uid="{00000000-0006-0000-0000-000052000000}">
      <text>
        <r>
          <rPr>
            <b/>
            <sz val="9"/>
            <color indexed="81"/>
            <rFont val="Tahoma"/>
            <family val="2"/>
          </rPr>
          <t>Peter Harper:</t>
        </r>
        <r>
          <rPr>
            <sz val="9"/>
            <color indexed="81"/>
            <rFont val="Tahoma"/>
            <family val="2"/>
          </rPr>
          <t xml:space="preserve">
This is a named cell: RDCTOT</t>
        </r>
      </text>
    </comment>
    <comment ref="AL51" authorId="0" shapeId="0" xr:uid="{00000000-0006-0000-0000-000053000000}">
      <text>
        <r>
          <rPr>
            <b/>
            <sz val="9"/>
            <color indexed="81"/>
            <rFont val="Tahoma"/>
            <family val="2"/>
          </rPr>
          <t>Peter Harper:</t>
        </r>
        <r>
          <rPr>
            <sz val="9"/>
            <color indexed="81"/>
            <rFont val="Tahoma"/>
            <family val="2"/>
          </rPr>
          <t xml:space="preserve">
Named cell
BIOMASSAREA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Harper</author>
  </authors>
  <commentList>
    <comment ref="F20" authorId="0" shapeId="0" xr:uid="{00000000-0006-0000-0300-000001000000}">
      <text>
        <r>
          <rPr>
            <b/>
            <sz val="9"/>
            <color indexed="81"/>
            <rFont val="Tahoma"/>
            <family val="2"/>
          </rPr>
          <t>Peter Harper:</t>
        </r>
        <r>
          <rPr>
            <sz val="9"/>
            <color indexed="81"/>
            <rFont val="Tahoma"/>
            <family val="2"/>
          </rPr>
          <t xml:space="preserve">
Cranfield recent data. Adrian Williams, pers. comm. April 2013.</t>
        </r>
      </text>
    </comment>
    <comment ref="F26" authorId="0" shapeId="0" xr:uid="{00000000-0006-0000-0300-000002000000}">
      <text>
        <r>
          <rPr>
            <b/>
            <sz val="9"/>
            <color indexed="81"/>
            <rFont val="Tahoma"/>
            <family val="2"/>
          </rPr>
          <t>Peter Harper:</t>
        </r>
        <r>
          <rPr>
            <sz val="9"/>
            <color indexed="81"/>
            <rFont val="Tahoma"/>
            <family val="2"/>
          </rPr>
          <t xml:space="preserve">
Williams et al 2009</t>
        </r>
      </text>
    </comment>
    <comment ref="L27" authorId="0" shapeId="0" xr:uid="{00000000-0006-0000-0300-000003000000}">
      <text>
        <r>
          <rPr>
            <b/>
            <sz val="9"/>
            <color indexed="81"/>
            <rFont val="Tahoma"/>
            <family val="2"/>
          </rPr>
          <t>Peter Harper:</t>
        </r>
        <r>
          <rPr>
            <sz val="9"/>
            <color indexed="81"/>
            <rFont val="Tahoma"/>
            <family val="2"/>
          </rPr>
          <t xml:space="preserve">
Global Change Biology (2013) 19, 3–18, doi: 10.1111/j.1365-2486.2012.02786
Bellarby et al</t>
        </r>
      </text>
    </comment>
    <comment ref="L28" authorId="0" shapeId="0" xr:uid="{00000000-0006-0000-0300-000004000000}">
      <text>
        <r>
          <rPr>
            <b/>
            <sz val="9"/>
            <color indexed="81"/>
            <rFont val="Tahoma"/>
            <family val="2"/>
          </rPr>
          <t>Peter Harper:</t>
        </r>
        <r>
          <rPr>
            <sz val="9"/>
            <color indexed="81"/>
            <rFont val="Tahoma"/>
            <family val="2"/>
          </rPr>
          <t xml:space="preserve">
Slightly higher estimate to allow for very high CEFs for Brazilian beef</t>
        </r>
      </text>
    </comment>
    <comment ref="F29" authorId="0" shapeId="0" xr:uid="{00000000-0006-0000-0300-000005000000}">
      <text>
        <r>
          <rPr>
            <b/>
            <sz val="9"/>
            <color indexed="81"/>
            <rFont val="Tahoma"/>
            <family val="2"/>
          </rPr>
          <t>Peter Harper:</t>
        </r>
        <r>
          <rPr>
            <sz val="9"/>
            <color indexed="81"/>
            <rFont val="Tahoma"/>
            <family val="2"/>
          </rPr>
          <t xml:space="preserve">
A varied group, difficult to generalise. These are provisional figyres derived from HLCWG</t>
        </r>
      </text>
    </comment>
    <comment ref="B32" authorId="0" shapeId="0" xr:uid="{00000000-0006-0000-0300-000006000000}">
      <text>
        <r>
          <rPr>
            <b/>
            <sz val="9"/>
            <color indexed="81"/>
            <rFont val="Tahoma"/>
            <family val="2"/>
          </rPr>
          <t>An insertion to allow for a category that must exist, but of unknown size and composition. Probably a small term</t>
        </r>
      </text>
    </comment>
    <comment ref="L34" authorId="0" shapeId="0" xr:uid="{00000000-0006-0000-0300-000007000000}">
      <text>
        <r>
          <rPr>
            <b/>
            <sz val="9"/>
            <color indexed="81"/>
            <rFont val="Tahoma"/>
            <family val="2"/>
          </rPr>
          <t>Peter Harper:</t>
        </r>
        <r>
          <rPr>
            <sz val="9"/>
            <color indexed="81"/>
            <rFont val="Tahoma"/>
            <family val="2"/>
          </rPr>
          <t xml:space="preserve">
HLCWG gives 0.65 EU and 0.21 RoW</t>
        </r>
      </text>
    </comment>
    <comment ref="B40" authorId="0" shapeId="0" xr:uid="{00000000-0006-0000-0300-000008000000}">
      <text>
        <r>
          <rPr>
            <b/>
            <sz val="9"/>
            <color indexed="81"/>
            <rFont val="Tahoma"/>
            <family val="2"/>
          </rPr>
          <t>Peter Harper:</t>
        </r>
        <r>
          <rPr>
            <sz val="9"/>
            <color indexed="81"/>
            <rFont val="Tahoma"/>
            <family val="2"/>
          </rPr>
          <t xml:space="preserve">
This is an estimate inserted to allow the category pending further data</t>
        </r>
      </text>
    </comment>
    <comment ref="L43" authorId="0" shapeId="0" xr:uid="{00000000-0006-0000-0300-000009000000}">
      <text>
        <r>
          <rPr>
            <b/>
            <sz val="9"/>
            <color indexed="81"/>
            <rFont val="Tahoma"/>
            <family val="2"/>
          </rPr>
          <t>Peter Harper:</t>
        </r>
        <r>
          <rPr>
            <sz val="9"/>
            <color indexed="81"/>
            <rFont val="Tahoma"/>
            <family val="2"/>
          </rPr>
          <t xml:space="preserve">
Allows for unkown fraction of airfreighted veg</t>
        </r>
      </text>
    </comment>
    <comment ref="L45" authorId="0" shapeId="0" xr:uid="{00000000-0006-0000-0300-00000A000000}">
      <text>
        <r>
          <rPr>
            <b/>
            <sz val="9"/>
            <color indexed="81"/>
            <rFont val="Tahoma"/>
            <family val="2"/>
          </rPr>
          <t>Peter Harper:</t>
        </r>
        <r>
          <rPr>
            <sz val="9"/>
            <color indexed="81"/>
            <rFont val="Tahoma"/>
            <family val="2"/>
          </rPr>
          <t xml:space="preserve">
Williams et al 2009 Israeli potatoes</t>
        </r>
      </text>
    </comment>
    <comment ref="F47" authorId="0" shapeId="0" xr:uid="{00000000-0006-0000-0300-00000B000000}">
      <text>
        <r>
          <rPr>
            <b/>
            <sz val="9"/>
            <color indexed="81"/>
            <rFont val="Tahoma"/>
            <family val="2"/>
          </rPr>
          <t>Peter Harper:</t>
        </r>
        <r>
          <rPr>
            <sz val="9"/>
            <color indexed="81"/>
            <rFont val="Tahoma"/>
            <family val="2"/>
          </rPr>
          <t xml:space="preserve">
http://www.esu-services.ch/fileadmin/download/buchspies-2011-LCA-fish.pdf</t>
        </r>
      </text>
    </comment>
    <comment ref="B63" authorId="0" shapeId="0" xr:uid="{00000000-0006-0000-0300-00000C000000}">
      <text>
        <r>
          <rPr>
            <b/>
            <sz val="9"/>
            <color indexed="81"/>
            <rFont val="Tahoma"/>
            <family val="2"/>
          </rPr>
          <t>An insertion to allow for a category that must exist, but of unknown size and composition. Probably a small term</t>
        </r>
      </text>
    </comment>
    <comment ref="B72" authorId="0" shapeId="0" xr:uid="{00000000-0006-0000-0300-00000D000000}">
      <text>
        <r>
          <rPr>
            <b/>
            <sz val="9"/>
            <color indexed="81"/>
            <rFont val="Tahoma"/>
            <family val="2"/>
          </rPr>
          <t>Peter Harper:</t>
        </r>
        <r>
          <rPr>
            <sz val="9"/>
            <color indexed="81"/>
            <rFont val="Tahoma"/>
            <family val="2"/>
          </rPr>
          <t xml:space="preserve">
This is an estimate inserted to allow the category pending further data</t>
        </r>
      </text>
    </comment>
    <comment ref="B83" authorId="0" shapeId="0" xr:uid="{00000000-0006-0000-0300-00000E000000}">
      <text>
        <r>
          <rPr>
            <b/>
            <sz val="9"/>
            <color indexed="81"/>
            <rFont val="Tahoma"/>
            <family val="2"/>
          </rPr>
          <t>Peter Harper:</t>
        </r>
        <r>
          <rPr>
            <sz val="9"/>
            <color indexed="81"/>
            <rFont val="Tahoma"/>
            <family val="2"/>
          </rPr>
          <t xml:space="preserve">
Because these are unknown, but must exist, they are estimated in terms of the difference between the bottom-up estimates and the top-down totals given in Audsley 2010.</t>
        </r>
      </text>
    </comment>
    <comment ref="L84" authorId="0" shapeId="0" xr:uid="{00000000-0006-0000-0300-00000F000000}">
      <text>
        <r>
          <rPr>
            <b/>
            <sz val="9"/>
            <color indexed="81"/>
            <rFont val="Tahoma"/>
            <family val="2"/>
          </rPr>
          <t>Peter Harper:</t>
        </r>
        <r>
          <rPr>
            <sz val="9"/>
            <color indexed="81"/>
            <rFont val="Tahoma"/>
            <family val="2"/>
          </rPr>
          <t xml:space="preserve">
This is an estimate inserted to make up the bottom/top inconsistency, at an intensity of 0.8t/t</t>
        </r>
      </text>
    </comment>
    <comment ref="R88" authorId="0" shapeId="0" xr:uid="{00000000-0006-0000-0300-000010000000}">
      <text>
        <r>
          <rPr>
            <b/>
            <sz val="9"/>
            <color indexed="81"/>
            <rFont val="Tahoma"/>
            <family val="2"/>
          </rPr>
          <t>Peter Harper:</t>
        </r>
        <r>
          <rPr>
            <sz val="9"/>
            <color indexed="81"/>
            <rFont val="Tahoma"/>
            <family val="2"/>
          </rPr>
          <t xml:space="preserve">
Import figure ignored as netted off by exports</t>
        </r>
      </text>
    </comment>
    <comment ref="W100" authorId="0" shapeId="0" xr:uid="{00000000-0006-0000-0300-000011000000}">
      <text>
        <r>
          <rPr>
            <b/>
            <sz val="9"/>
            <color indexed="81"/>
            <rFont val="Tahoma"/>
            <family val="2"/>
          </rPr>
          <t>An insertion to allow for a category that must exist, but of unknown size and composition. Probably a small term</t>
        </r>
      </text>
    </comment>
    <comment ref="W109" authorId="0" shapeId="0" xr:uid="{00000000-0006-0000-0300-000012000000}">
      <text>
        <r>
          <rPr>
            <b/>
            <sz val="9"/>
            <color indexed="81"/>
            <rFont val="Tahoma"/>
            <family val="2"/>
          </rPr>
          <t>Peter Harper:</t>
        </r>
        <r>
          <rPr>
            <sz val="9"/>
            <color indexed="81"/>
            <rFont val="Tahoma"/>
            <family val="2"/>
          </rPr>
          <t xml:space="preserve">
This is an estimate inserted to allow the category pending further data</t>
        </r>
      </text>
    </comment>
    <comment ref="U120" authorId="0" shapeId="0" xr:uid="{00000000-0006-0000-0300-000013000000}">
      <text>
        <r>
          <rPr>
            <b/>
            <sz val="9"/>
            <color indexed="81"/>
            <rFont val="Tahoma"/>
            <family val="2"/>
          </rPr>
          <t>Peter Harper:</t>
        </r>
        <r>
          <rPr>
            <sz val="9"/>
            <color indexed="81"/>
            <rFont val="Tahoma"/>
            <family val="2"/>
          </rPr>
          <t xml:space="preserve">
Because these are unknown, but must exist, they are estimated in terms of the difference between the bottom-up estimates and the top-down totals given in Audsley 2010.</t>
        </r>
      </text>
    </comment>
  </commentList>
</comments>
</file>

<file path=xl/sharedStrings.xml><?xml version="1.0" encoding="utf-8"?>
<sst xmlns="http://schemas.openxmlformats.org/spreadsheetml/2006/main" count="864" uniqueCount="520">
  <si>
    <t xml:space="preserve">FUNCTIONAL UNITS: kt AT FARM GATE=RDC FOR CROPS; kt DEADWEIGHT FOR LIVESTOCK; FOR CONSUMPTION SCORES ADJUSTED FOR LOSSES IN PROCESSING AND INCREASED POPULATION </t>
  </si>
  <si>
    <t>ASSUMED TONNAGE AT RDC= RDCTOT</t>
  </si>
  <si>
    <t>SEE NOTES</t>
  </si>
  <si>
    <t>ASSUMED TONNAGE PURCHASED FOR CONSUMPTION = 43Mt = CONSTOT</t>
  </si>
  <si>
    <t>SHADING KEY:</t>
  </si>
  <si>
    <t>Emissions</t>
  </si>
  <si>
    <t>Modelling cells</t>
  </si>
  <si>
    <t>Named cells</t>
  </si>
  <si>
    <t>Crop totals</t>
  </si>
  <si>
    <t>Livestock totals</t>
  </si>
  <si>
    <t>All product totals</t>
  </si>
  <si>
    <t>Scenarios</t>
  </si>
  <si>
    <t>Cells with provisional data</t>
  </si>
  <si>
    <t>Protein</t>
  </si>
  <si>
    <t>O/S</t>
  </si>
  <si>
    <t>Nutrition same</t>
  </si>
  <si>
    <t>Calories</t>
  </si>
  <si>
    <t>Arable</t>
  </si>
  <si>
    <t>Biomass area</t>
  </si>
  <si>
    <t>Biomass</t>
  </si>
  <si>
    <t>SCENARIO 2</t>
  </si>
  <si>
    <t>LAND USE CHANGE FACTORS</t>
  </si>
  <si>
    <t>UNITS</t>
  </si>
  <si>
    <t>kt/y</t>
  </si>
  <si>
    <t>tCO2e/t</t>
  </si>
  <si>
    <t>ktCO2e</t>
  </si>
  <si>
    <t>kha</t>
  </si>
  <si>
    <t>ha/t</t>
  </si>
  <si>
    <t>kcal/g</t>
  </si>
  <si>
    <t>protein/g/kg</t>
  </si>
  <si>
    <t>NP score</t>
  </si>
  <si>
    <t>COMMODITY</t>
  </si>
  <si>
    <t>UK PRODUCTION</t>
  </si>
  <si>
    <t>QUY USED FOR DIRECT CONSUMPTION</t>
  </si>
  <si>
    <t>O/S PRODUCTION FOR DIRECT CONSUMPTION</t>
  </si>
  <si>
    <t>EXPECTED IN THE FEED/BY-PRODUCTS STREAM</t>
  </si>
  <si>
    <t>TOTAL FOR DIRECT CONSUMPTION</t>
  </si>
  <si>
    <t xml:space="preserve">UK CEF </t>
  </si>
  <si>
    <t>O/S CEF</t>
  </si>
  <si>
    <t>UK EMISSIONS</t>
  </si>
  <si>
    <t>O/S EMISSIONS</t>
  </si>
  <si>
    <t>TOTAL PRODUCTION EMISSIONS WITHOUT LUC</t>
  </si>
  <si>
    <t>AREA IN UK for crops/feed</t>
  </si>
  <si>
    <t>AREA O/S for crops/feed</t>
  </si>
  <si>
    <t>GRAZING AREA IN UK</t>
  </si>
  <si>
    <t>GRAZING AREA O/S</t>
  </si>
  <si>
    <t>UK Arable Area intensity, ha/t</t>
  </si>
  <si>
    <t>Grazing area intensity</t>
  </si>
  <si>
    <t>ENERGY CONTENT</t>
  </si>
  <si>
    <t>POTENTIAL NUTRITIONAL VALUE</t>
  </si>
  <si>
    <t>PROPORTION ENERGY CO2</t>
  </si>
  <si>
    <t>Energy content kcal/h/d</t>
  </si>
  <si>
    <t>Protein content, g/h/d</t>
  </si>
  <si>
    <t>Proportion of commodity relative to present</t>
  </si>
  <si>
    <t>Proportion sourced UK</t>
  </si>
  <si>
    <t>TOTAL quantities at the Scenario RDC</t>
  </si>
  <si>
    <t>Revised GHGE on assumption of harmonised CEF</t>
  </si>
  <si>
    <t>Energy delivery kcal/h/d</t>
  </si>
  <si>
    <t>Protein per person per daty</t>
  </si>
  <si>
    <t>Arable Land UK</t>
  </si>
  <si>
    <t>Arable O/S</t>
  </si>
  <si>
    <t>Grazing</t>
  </si>
  <si>
    <t>Yield increases by 2030 ref Jaggard et al 2010 (2050/0.4)</t>
  </si>
  <si>
    <t>Technial mitigation</t>
  </si>
  <si>
    <t>Arable Land use UK</t>
  </si>
  <si>
    <t>Land Use O/S</t>
  </si>
  <si>
    <t>LUC CEF</t>
  </si>
  <si>
    <t>LUC EMISSIONS</t>
  </si>
  <si>
    <t>TOTAL EMISSIONS WITH LUC</t>
  </si>
  <si>
    <t>SCENARIO LUC</t>
  </si>
  <si>
    <t>WHEAT</t>
  </si>
  <si>
    <t>BARLEY</t>
  </si>
  <si>
    <t>OATS</t>
  </si>
  <si>
    <t>OTHER CEREALS</t>
  </si>
  <si>
    <t>OSR</t>
  </si>
  <si>
    <t>SUGAR BEET</t>
  </si>
  <si>
    <t>POTATOES</t>
  </si>
  <si>
    <t>BEANS</t>
  </si>
  <si>
    <t>PEAS</t>
  </si>
  <si>
    <t>FRUIT</t>
  </si>
  <si>
    <t>FIELD VEG</t>
  </si>
  <si>
    <t>PROTECTED</t>
  </si>
  <si>
    <t>ALL OTHER UK CROPS</t>
  </si>
  <si>
    <t>IMPORTED  OILSEEDS</t>
  </si>
  <si>
    <t>PADDY RICE</t>
  </si>
  <si>
    <t>OTHER PLANTATION CROPS</t>
  </si>
  <si>
    <t>MAIZE</t>
  </si>
  <si>
    <t>NUTS</t>
  </si>
  <si>
    <t>CANE SUGAR</t>
  </si>
  <si>
    <t>WINE</t>
  </si>
  <si>
    <t>ALL OTHER IMPORTED CROP FOODS</t>
  </si>
  <si>
    <t xml:space="preserve"> MILK &amp; PRODUCTS</t>
  </si>
  <si>
    <t>BEEF</t>
  </si>
  <si>
    <t>SHEEP MEAT &amp; GOAT</t>
  </si>
  <si>
    <t>PIG MEAT</t>
  </si>
  <si>
    <t>POULTRY</t>
  </si>
  <si>
    <t>EGGS</t>
  </si>
  <si>
    <t>WILD FISH</t>
  </si>
  <si>
    <t>FARMED FISH</t>
  </si>
  <si>
    <t>OTHER UK L/S PRODUCTS</t>
  </si>
  <si>
    <t>IMPORTED L/S PRODUCTS</t>
  </si>
  <si>
    <t>TOTALS FOR CROP COMMODITIES</t>
  </si>
  <si>
    <t>UK CROP GHGE</t>
  </si>
  <si>
    <t>TOTALS FOR LIVESTOCK COMMODITIES</t>
  </si>
  <si>
    <t>ALL COMMODITIES</t>
  </si>
  <si>
    <t>Arable UK</t>
  </si>
  <si>
    <t>Grazing UK</t>
  </si>
  <si>
    <t>Grazing O/S</t>
  </si>
  <si>
    <t>UK</t>
  </si>
  <si>
    <t>CO2e</t>
  </si>
  <si>
    <t>LUC GHGE</t>
  </si>
  <si>
    <t>ALL GHGE</t>
  </si>
  <si>
    <t>IMPORTS ONLY</t>
  </si>
  <si>
    <t>TOTAL</t>
  </si>
  <si>
    <t>Available for biomass crops</t>
  </si>
  <si>
    <t>A GOOD RESULT</t>
  </si>
  <si>
    <t>Biomass area available</t>
  </si>
  <si>
    <t>UK Production</t>
  </si>
  <si>
    <t>O/S Production</t>
  </si>
  <si>
    <t xml:space="preserve"> Compare FLAGG</t>
  </si>
  <si>
    <t>Land required for direct consumption</t>
  </si>
  <si>
    <t>High carbs</t>
  </si>
  <si>
    <t>SURPRISING</t>
  </si>
  <si>
    <t>NOT SURPRISING</t>
  </si>
  <si>
    <t>Crops</t>
  </si>
  <si>
    <t>CROPS</t>
  </si>
  <si>
    <t>High energy</t>
  </si>
  <si>
    <t>CURRENT COMMODITY MIX</t>
  </si>
  <si>
    <t>Livestock</t>
  </si>
  <si>
    <t>L/STOCK</t>
  </si>
  <si>
    <t>All UK</t>
  </si>
  <si>
    <t>All O/S</t>
  </si>
  <si>
    <t>High Protein</t>
  </si>
  <si>
    <t>Production</t>
  </si>
  <si>
    <t>High health</t>
  </si>
  <si>
    <t>ALL</t>
  </si>
  <si>
    <t>Targets:</t>
  </si>
  <si>
    <t>NOTES TO SPREADSHEET</t>
  </si>
  <si>
    <t>General note: Much of the work refers to various studies conducted at Cranfield University by Eric Audsley, Adrian Williams and their group</t>
  </si>
  <si>
    <t>The sources are these:</t>
  </si>
  <si>
    <t>Referred to as Williams (2006)</t>
  </si>
  <si>
    <t>Audsley, E., Brander, M., Chatterton, J., Murphy-Bokern, D., Webster, C., and Williams, A.</t>
  </si>
  <si>
    <t>Referred to as HLCWG</t>
  </si>
  <si>
    <t>Audsley, E., Angus, A., Chatterton, J., Graves, A., Morris, J., Murphy-Bokern, D., Pearn, K., Sandars, D. and</t>
  </si>
  <si>
    <t>Referred to as FLAGG</t>
  </si>
  <si>
    <t>NOTE No</t>
  </si>
  <si>
    <t>COLUMN</t>
  </si>
  <si>
    <t>Line</t>
  </si>
  <si>
    <t>NOTES</t>
  </si>
  <si>
    <t>A</t>
  </si>
  <si>
    <r>
      <rPr>
        <b/>
        <sz val="11"/>
        <color indexed="8"/>
        <rFont val="Calibri"/>
        <family val="2"/>
      </rPr>
      <t xml:space="preserve">The named cell CONSTOT </t>
    </r>
    <r>
      <rPr>
        <sz val="11"/>
        <color theme="1"/>
        <rFont val="Calibri"/>
        <family val="2"/>
        <scheme val="minor"/>
      </rPr>
      <t>is the assumed fresh weight in Mt of foods sold for consumption. It could be subject to revision in the light of better information</t>
    </r>
  </si>
  <si>
    <t>It is used in calculations to adjust the expected nutritional value of farm-gate/RDC commodities after processing and other losses</t>
  </si>
  <si>
    <t>Assumed Scenario population</t>
  </si>
  <si>
    <t>11-44</t>
  </si>
  <si>
    <t>Food Commodity Product Categories</t>
  </si>
  <si>
    <t>The product categories are derived largely from the 'Cranfield sources'</t>
  </si>
  <si>
    <t>Some new categories have been created for the purposes of the scenario</t>
  </si>
  <si>
    <t>They are chosen to allow a reasonable level of differentiation with undue detail</t>
  </si>
  <si>
    <t>A category for 'other crops' that must exist, but of unknown size. Notional quantity, intensity 0.7</t>
  </si>
  <si>
    <t>A category to allow for other imported crops, pending better data. 200kt is notional, intensity 0.8</t>
  </si>
  <si>
    <t>Totals for crop products throughout the spreadsheet</t>
  </si>
  <si>
    <t>Totals for livestock products throughout the spreadsheet</t>
  </si>
  <si>
    <t>Totals for all products</t>
  </si>
  <si>
    <t>In the lines below I have taken some of the totals and created summary graphics. These can be ignored.</t>
  </si>
  <si>
    <t>B</t>
  </si>
  <si>
    <t>UK territorial production of all agricultural commodities</t>
  </si>
  <si>
    <t>Data from FAOSTAT</t>
  </si>
  <si>
    <t>http://faostat.fao.org/site/342/default.aspx</t>
  </si>
  <si>
    <t>Some stats from 2010, some 2011; the two years do not include all commodities</t>
  </si>
  <si>
    <t>Acc: 24/02/13</t>
  </si>
  <si>
    <t>Agricultural and Horticultural Development Board</t>
  </si>
  <si>
    <t>http://www.ahdb.org.uk/publications/documents/FeedingBritain.pdf</t>
  </si>
  <si>
    <t>C</t>
  </si>
  <si>
    <t>Quantities actually provided to the human food chain</t>
  </si>
  <si>
    <t xml:space="preserve">Very difficult to get consistent data, for a number of reasons. The best source I have found is a semi-commercial one, UK Agriculture, http://www.ukagriculture.com/index.cfm </t>
  </si>
  <si>
    <t>D</t>
  </si>
  <si>
    <r>
      <t xml:space="preserve">Foods and food commodities imported for direct consumption. </t>
    </r>
    <r>
      <rPr>
        <sz val="11"/>
        <color theme="1"/>
        <rFont val="Calibri"/>
        <family val="2"/>
        <scheme val="minor"/>
      </rPr>
      <t>Does not include livestock feeds. Sourced from HLCWG unless otherwise noted.</t>
    </r>
  </si>
  <si>
    <t>Wine imports have a large weight on account of water content. The same approach is taken as with milk, to divide by 10 in order to avoid distorting the rest of the data.</t>
  </si>
  <si>
    <t>Imports of milk and milk products have increased recently. This figure from FAOSTAT 2010/11.</t>
  </si>
  <si>
    <t>Eggs figure from  http://assets.wwf.org.uk/downloads/environmentalimpacts_ukfoodconsumption.pdf</t>
  </si>
  <si>
    <t>Acc: 20/02/13</t>
  </si>
  <si>
    <t>E</t>
  </si>
  <si>
    <t>Agricultural commodities expected to go into the feed/by-product sector</t>
  </si>
  <si>
    <t>Hard to get consistent data across the entire sector. The Carbon Trust gives a value of 18Mt/y commercial feeds. http://www.carbontrust.com/media/206460/ctg018-animal-feed-milling-industrial-energy-efficiency.pdf.  Data from UK Agriculture, http://www.ukagriculture.com/index.cfm, unless otherwise stated</t>
  </si>
  <si>
    <t>http://archive.defra.gov.uk/environment/quality/gm/crops/documents/foodmatters-otherfeeds-1308.pdf. Accessed 14/02/13</t>
  </si>
  <si>
    <r>
      <rPr>
        <sz val="11"/>
        <rFont val="Calibri"/>
        <family val="2"/>
      </rPr>
      <t xml:space="preserve">Assume 33% into livestock feed </t>
    </r>
    <r>
      <rPr>
        <u/>
        <sz val="11"/>
        <color indexed="12"/>
        <rFont val="Calibri"/>
        <family val="2"/>
      </rPr>
      <t>http://archive.defra.gov.uk/foodfarm/growing/crops/sugar/ind/index.htm. Accessed 24/02/13</t>
    </r>
  </si>
  <si>
    <t>Assume 10% used for feed. No data.</t>
  </si>
  <si>
    <t xml:space="preserve">Assume 50% stock. http://archive.defra.gov.uk/environment/quality/gm/crops/documents/foodmatters-otherfeeds-1308.pdf </t>
  </si>
  <si>
    <t>Assume 50% stock. http://archive.defra.gov.uk/environment/quality/gm/crops/documents/foodmatters-otherfeeds-1308.pdf</t>
  </si>
  <si>
    <t>Assume 10% into livestock feed, as molasses. No data.</t>
  </si>
  <si>
    <t>Provisional total is similar to Carbon Trust figure</t>
  </si>
  <si>
    <t>F</t>
  </si>
  <si>
    <t>Total food commodities at Farm Gate/RDC</t>
  </si>
  <si>
    <t xml:space="preserve">Figure based on 50% human use. Compare http://www.nabim.org.uk/content/1/100/statistics.html, giving human use at 6899kt/y.  </t>
  </si>
  <si>
    <t>The total of all commodities is labelled RDCTOT and can be used in formulae</t>
  </si>
  <si>
    <t>G</t>
  </si>
  <si>
    <t>CEFs. GHG intensity of UK production at RDC</t>
  </si>
  <si>
    <t>A very wide range of CEFs given in the literature, mostly rather higher than those given here, from Williams (2006).</t>
  </si>
  <si>
    <t xml:space="preserve"> This is known to be out of date, but gives results broadly in line with FLAGG, that uses a revised LCI</t>
  </si>
  <si>
    <t>The new LCI data are not yet available.</t>
  </si>
  <si>
    <t>Difficult to generalise a diverse group. These values are estimates derived from HLCWG.</t>
  </si>
  <si>
    <t>Fish CEFs are notoriously variable. The comparative study by Buchspies et al.,  (2011)Life Cycle Assessment of High-Sea Fish and Salmon Aquaculture. ESU services</t>
  </si>
  <si>
    <t>http://www.esu-services.ch/fileadmin/download/buchspies-2011-LCA-fish.pdf</t>
  </si>
  <si>
    <t>H</t>
  </si>
  <si>
    <t>CEFs. GHG intensity of O/S production at RDC</t>
  </si>
  <si>
    <t>These are all taken from HLCWG unless otherwise stated. Different CEFs are given for EU and Rest of World (RoW). Usually a commodity will come from only one of these regions, but where both are involved an estimated compromise figure is used.</t>
  </si>
  <si>
    <t xml:space="preserve"> 'Peas' an ambiuguous group. HLCWG gives 0.21RoW, 0.65EU. UK CEF is used.</t>
  </si>
  <si>
    <t>No data here, but this possibly high CEF is intended to reflect the high GHGE of air-freighted vegetables</t>
  </si>
  <si>
    <r>
      <t xml:space="preserve">Bellarby, J. </t>
    </r>
    <r>
      <rPr>
        <i/>
        <sz val="11"/>
        <color indexed="8"/>
        <rFont val="Calibri"/>
        <family val="2"/>
      </rPr>
      <t>et al</t>
    </r>
    <r>
      <rPr>
        <sz val="11"/>
        <color theme="1"/>
        <rFont val="Calibri"/>
        <family val="2"/>
        <scheme val="minor"/>
      </rPr>
      <t xml:space="preserve">., Livestock Greenhouse Gases and Mitigation Potential in Europe, (2012), </t>
    </r>
    <r>
      <rPr>
        <i/>
        <sz val="11"/>
        <color indexed="8"/>
        <rFont val="Calibri"/>
        <family val="2"/>
      </rPr>
      <t>Global Change Biology</t>
    </r>
    <r>
      <rPr>
        <sz val="11"/>
        <color theme="1"/>
        <rFont val="Calibri"/>
        <family val="2"/>
        <scheme val="minor"/>
      </rPr>
      <t xml:space="preserve">, </t>
    </r>
    <r>
      <rPr>
        <b/>
        <sz val="11"/>
        <color indexed="8"/>
        <rFont val="Calibri"/>
        <family val="2"/>
      </rPr>
      <t>19</t>
    </r>
    <r>
      <rPr>
        <sz val="11"/>
        <color theme="1"/>
        <rFont val="Calibri"/>
        <family val="2"/>
        <scheme val="minor"/>
      </rPr>
      <t xml:space="preserve"> (1) </t>
    </r>
  </si>
  <si>
    <t>Ibid., adjusted to allow for higher CEF of Brazilian beef</t>
  </si>
  <si>
    <t>I</t>
  </si>
  <si>
    <t>GHGE for directly consumed commodities produced in UK</t>
  </si>
  <si>
    <t>Formula is C*G</t>
  </si>
  <si>
    <t>J</t>
  </si>
  <si>
    <t>GHGE for directly consumed commodities produced O/S</t>
  </si>
  <si>
    <t>Formula is D*H</t>
  </si>
  <si>
    <t>K</t>
  </si>
  <si>
    <t>Total GHGE at RDC</t>
  </si>
  <si>
    <t>Formula is J+K</t>
  </si>
  <si>
    <t>This is high in comparison with FLAGG totals, but probably reflects recent increase in dairy product imports</t>
  </si>
  <si>
    <t xml:space="preserve">Compare calculated results with FLAGG. Crops very close, livestock products higher, probably for reason given above. Overall result close enough not to suspect serious errors </t>
  </si>
  <si>
    <t>L</t>
  </si>
  <si>
    <t>Arable areas used by each commodity in UK</t>
  </si>
  <si>
    <t>Derived from UK Agriculture 2011</t>
  </si>
  <si>
    <r>
      <t xml:space="preserve">Note that the area required for direct consumption crops is the crop area total </t>
    </r>
    <r>
      <rPr>
        <i/>
        <sz val="11"/>
        <color indexed="8"/>
        <rFont val="Calibri"/>
        <family val="2"/>
      </rPr>
      <t>less</t>
    </r>
    <r>
      <rPr>
        <sz val="11"/>
        <color theme="1"/>
        <rFont val="Calibri"/>
        <family val="2"/>
        <scheme val="minor"/>
      </rPr>
      <t xml:space="preserve"> the area allocated to livestock. Cell L47 is </t>
    </r>
    <r>
      <rPr>
        <i/>
        <sz val="11"/>
        <color indexed="8"/>
        <rFont val="Calibri"/>
        <family val="2"/>
      </rPr>
      <t>deducted</t>
    </r>
    <r>
      <rPr>
        <sz val="11"/>
        <color theme="1"/>
        <rFont val="Calibri"/>
        <family val="2"/>
        <scheme val="minor"/>
      </rPr>
      <t xml:space="preserve"> from cell L46.</t>
    </r>
  </si>
  <si>
    <t>M</t>
  </si>
  <si>
    <t>Arable areas for each commodity O/S</t>
  </si>
  <si>
    <t>Derived from FLAGG</t>
  </si>
  <si>
    <t>Figure given by FLAGG for 'orchards'</t>
  </si>
  <si>
    <t>No data; assume equal to UK area</t>
  </si>
  <si>
    <t>Assume twice UK</t>
  </si>
  <si>
    <t>FLAGG gives 769 for 'plantation crops'. Assume half for oils, half for beverage crops</t>
  </si>
  <si>
    <t>Imported maize assumed 8t/ha</t>
  </si>
  <si>
    <t>In this case the areas for direct consumption are distinct from the areas required for feed production, so cells M47 and M46 are added.</t>
  </si>
  <si>
    <t>N</t>
  </si>
  <si>
    <t>Grazing area in UK</t>
  </si>
  <si>
    <t>Source: FLAGG</t>
  </si>
  <si>
    <t>O</t>
  </si>
  <si>
    <t>Grazing area overseas</t>
  </si>
  <si>
    <t>This overseas area is not in FLAGG but inserted to match the 435t of reported imports. It is pro-rated through the formula N*(B/D)</t>
  </si>
  <si>
    <t>P</t>
  </si>
  <si>
    <t>Land intensity for UK crops</t>
  </si>
  <si>
    <t>Formula is L/B</t>
  </si>
  <si>
    <t>Formula is M/D</t>
  </si>
  <si>
    <t>Formula is (M+L)/F. This is necessary because variable amounts of feed and L/S products come from overseas and only an overall intensity can be assessed.</t>
  </si>
  <si>
    <t>Q</t>
  </si>
  <si>
    <t>R</t>
  </si>
  <si>
    <t>kcal/h/d</t>
  </si>
  <si>
    <t>Energy content of commodity in kcal/person.day</t>
  </si>
  <si>
    <t>Source: Food Standards Agency CoFids database: www.food.gov.uk/multimedia/spreadsheets/cofids.xls</t>
  </si>
  <si>
    <t>The database does not always have exact matches for agricultural commodities, but many items come close enough to be reliable estimates</t>
  </si>
  <si>
    <t>The values chosen were for 'raw' rather than cooked or processed commodities</t>
  </si>
  <si>
    <t>This is used for modelling alternative commodity mixes to check whether enough food energy is being delivered to the post-RDC phase</t>
  </si>
  <si>
    <t>S</t>
  </si>
  <si>
    <t>g protein/h/d</t>
  </si>
  <si>
    <t>Protein content of commodity in grams per person per day</t>
  </si>
  <si>
    <t>This is used for modelling alternative commodity mixes to check whether enough protein is being delivered to the post-RDC phase</t>
  </si>
  <si>
    <t>T</t>
  </si>
  <si>
    <t>Nutritional profiling score</t>
  </si>
  <si>
    <t>This was developed by Laura Blake from nutritional profiling systems and is usually applied to foods as consumed. The application to commodities at the RDC is possibly dubious, but it could possibly be used as a crude check on the expected 'health impacts' of an altered commodity mix.</t>
  </si>
  <si>
    <t>U</t>
  </si>
  <si>
    <t>Proportion of RDC intensity attributable to energy inputs</t>
  </si>
  <si>
    <t>It is possible that the data have been considerably revised, but these are the best we have pending revisions.</t>
  </si>
  <si>
    <t>Wild sea fish are assumed to have 99% energy inputs</t>
  </si>
  <si>
    <t>Farmed fish are considered as eggs</t>
  </si>
  <si>
    <r>
      <t xml:space="preserve">Williams, A., Audsley, E. and D Sandars, D. 2006. </t>
    </r>
    <r>
      <rPr>
        <i/>
        <sz val="11"/>
        <color indexed="8"/>
        <rFont val="Calibri"/>
        <family val="2"/>
      </rPr>
      <t>Determining the environmental burdens and resource use in the production of</t>
    </r>
  </si>
  <si>
    <r>
      <rPr>
        <i/>
        <sz val="11"/>
        <color indexed="8"/>
        <rFont val="Calibri"/>
        <family val="2"/>
      </rPr>
      <t>agricultural and horticultural commodities.</t>
    </r>
    <r>
      <rPr>
        <sz val="11"/>
        <color theme="1"/>
        <rFont val="Calibri"/>
        <family val="2"/>
        <scheme val="minor"/>
      </rPr>
      <t xml:space="preserve"> Defra project report IS0205.</t>
    </r>
  </si>
  <si>
    <r>
      <t xml:space="preserve">(2009). </t>
    </r>
    <r>
      <rPr>
        <i/>
        <sz val="11"/>
        <color indexed="8"/>
        <rFont val="Calibri"/>
        <family val="2"/>
      </rPr>
      <t>How low can we go? An assessment of greenhouse gas emissions from the UK food</t>
    </r>
  </si>
  <si>
    <r>
      <rPr>
        <i/>
        <sz val="11"/>
        <color indexed="8"/>
        <rFont val="Calibri"/>
        <family val="2"/>
      </rPr>
      <t>system and the scope for to reduction by 2050</t>
    </r>
    <r>
      <rPr>
        <sz val="11"/>
        <color theme="1"/>
        <rFont val="Calibri"/>
        <family val="2"/>
        <scheme val="minor"/>
      </rPr>
      <t>. WWF- UK.</t>
    </r>
  </si>
  <si>
    <r>
      <t xml:space="preserve">Williams, A. (2010). </t>
    </r>
    <r>
      <rPr>
        <i/>
        <sz val="11"/>
        <color indexed="8"/>
        <rFont val="Calibri"/>
        <family val="2"/>
      </rPr>
      <t>Food, land and greenhouse gases. The effect of changes in UK food consumption on</t>
    </r>
  </si>
  <si>
    <r>
      <rPr>
        <i/>
        <sz val="11"/>
        <color indexed="8"/>
        <rFont val="Calibri"/>
        <family val="2"/>
      </rPr>
      <t>land requirements and greenhouse gas emissions.</t>
    </r>
    <r>
      <rPr>
        <sz val="11"/>
        <color theme="1"/>
        <rFont val="Calibri"/>
        <family val="2"/>
        <scheme val="minor"/>
      </rPr>
      <t xml:space="preserve"> The Committee on Climate Change.</t>
    </r>
  </si>
  <si>
    <t>Default proportions for reference and resetting</t>
  </si>
  <si>
    <t>USE VALUES IN COLUMN Z FOR MODELLING</t>
  </si>
  <si>
    <t>VALUES IN Y CAN BE USED TO RESET</t>
  </si>
  <si>
    <t>Revised CEF based on N component</t>
  </si>
  <si>
    <t>PROPORTION N2O</t>
  </si>
  <si>
    <t>Source: Williams (2006). This is a key statistic to estimate the post-decarbonisation scenario intensities for agricultural commodities.</t>
  </si>
  <si>
    <t>V</t>
  </si>
  <si>
    <t>g/h/d</t>
  </si>
  <si>
    <r>
      <t xml:space="preserve">Units. </t>
    </r>
    <r>
      <rPr>
        <sz val="11"/>
        <color theme="1"/>
        <rFont val="Calibri"/>
        <family val="2"/>
        <scheme val="minor"/>
      </rPr>
      <t xml:space="preserve"> This line contains the units for the values in the columns. Blank cells are dimensionless numbers.</t>
    </r>
  </si>
  <si>
    <t>Proportion of RDC intensity attributable to N2O</t>
  </si>
  <si>
    <t>Source: Williams (2006). This value is needed as part of the calculations to apportion energy and other emissions to the pre-farm input stage, and also to calculate modifications of the N2O component</t>
  </si>
  <si>
    <t>W</t>
  </si>
  <si>
    <t>Energy content of commodity in kcal/kg prouct</t>
  </si>
  <si>
    <t>Protein content of commodity in grams per kg product</t>
  </si>
  <si>
    <t>Formula</t>
  </si>
  <si>
    <t>Formula: R11*F11*(CONSTOT/RDCTOT)/365/62.5</t>
  </si>
  <si>
    <t>Applied to the present-day commodity-mix, this acts as a check that the model delivers calorie levels close to those actually observed.</t>
  </si>
  <si>
    <t>In scenario modelling, it tells us whether any particular modelled commodity mix would in principle provide an adequate level of food energy</t>
  </si>
  <si>
    <t>25-32</t>
  </si>
  <si>
    <t>Williams (2006) does not have values for these imported commodities. They are given a default value of 0.6, comparable with similar crops in UK, except rice, see below</t>
  </si>
  <si>
    <t>There are no data for overseas crops, so they are allocated a default estimate of 0.4 based on other crops, except rice, see line 26</t>
  </si>
  <si>
    <t>Padi rice is unusual in having an important methane component, so N2O is proportionately lower. Data from Zhang et al (2011)Biochar amendment decreased C intensity of rice production in a Chinese rice paddy: a 
field study of 2 consecutive rice growth cycles in Tai Lake plain, China. http://www.biochar-international.org/sites/default/files/zhangafeng.pdf. Accessed 8 March 2013.</t>
  </si>
  <si>
    <t>This multiplies output by specific energy content, corrects for the average weight difference between consumption (CONSTOT) and RDC (RDCTOT), and converts to a person-day score to compare with known calorie requirements.</t>
  </si>
  <si>
    <t>X</t>
  </si>
  <si>
    <t>Formula: S11*F11*(CONSTOT/RDCTOT)/365/62.5</t>
  </si>
  <si>
    <t>This multiplies output by specific protein content, corrects for the average weight difference between consumption (CONSTOT) and RDC (RDCTOT), and converts to a person-day score to compare with known calorie requirements.</t>
  </si>
  <si>
    <t>Applied to the present-day commodity-mix, this acts as a check that the model delivers protein levels close to those actually observed.</t>
  </si>
  <si>
    <t>THE FOREGOING COLUMNS CONTAIN THE BASIC DATA NECESSARY FOR THE DECARBONISATION MODEL. SUBSEQUENT COLUMNS SHOW INPUTS FOR MODEL VARIANTS, AND RESULTS</t>
  </si>
  <si>
    <t>Y</t>
  </si>
  <si>
    <t>Default proportions for reference re-setting</t>
  </si>
  <si>
    <t>These are simple numerical values containing a default set of alternative proportions for Scenario product mixes</t>
  </si>
  <si>
    <t>They are based on the product mix used in ZCB2030 and allow instant 're-setting' of trial alternatives in Column Z</t>
  </si>
  <si>
    <t>Z</t>
  </si>
  <si>
    <t>These are interactive cells that allow fresh inputs to model alternative commodity mixes</t>
  </si>
  <si>
    <t>Dimensionless numbers, values 0:1</t>
  </si>
  <si>
    <t>AA</t>
  </si>
  <si>
    <t>35-42</t>
  </si>
  <si>
    <t>NB this is the only crop instance where cell U+V do not add to unity</t>
  </si>
  <si>
    <t>Proportion sourced in UK</t>
  </si>
  <si>
    <t>If we want to calculate any residual Scenario effects of overseas LUC we need to specify which products are sourced overseas</t>
  </si>
  <si>
    <t>The wider ZCB3 Scenario assumes that CEFs of traded goods are harmonised with those of the UK, so this partition is not necessary for calculating non-LUC CEFs.</t>
  </si>
  <si>
    <t>AB</t>
  </si>
  <si>
    <t>Modelled Scenario quantities produced in the UK</t>
  </si>
  <si>
    <t>Formula: F*Z*AA</t>
  </si>
  <si>
    <t>AC</t>
  </si>
  <si>
    <t>Modelled Scenario quantities produced overseas</t>
  </si>
  <si>
    <t>Formula: F*Z*(1-AA).</t>
  </si>
  <si>
    <t>AD</t>
  </si>
  <si>
    <t>Total quantities at the RDC</t>
  </si>
  <si>
    <t>This assumes that all commodities are in some sense 'marshalled' as raw materials at the RDC before entering the processing phase</t>
  </si>
  <si>
    <t>Clearly it is not always true: raw commodities can slip from farm to plate; finished goods can be wholesaled directly, etc. This is a modelling convention.</t>
  </si>
  <si>
    <t>AE</t>
  </si>
  <si>
    <t>The Scenario is by convention set in 2030 and the expected population is 71.4 million. The calculated quantities are therefore adjusted in the ratio of the scenario to present population.</t>
  </si>
  <si>
    <t>Formula: (AB+AC)*SCENARIOPOP/62.5</t>
  </si>
  <si>
    <t>Revised CEF based on N-component</t>
  </si>
  <si>
    <t>Statistics in the published literature are not always appropriate for deriving 'decarbonised' emission factors</t>
  </si>
  <si>
    <t>Direct and indirect N2O emissions from farm operations are often combined with emissions from the manufacture of fertilisers.</t>
  </si>
  <si>
    <t>Fertilisers have two important GHGE aspects: the energy required to split the dinitrogen triple-bond; and fugitive emissions of N2O in the manufacture of nitric acid for the production of ammonium nitrate</t>
  </si>
  <si>
    <t>On the farm, there is a fixed component of emissions from soils, and a component proportional to the input of N.</t>
  </si>
  <si>
    <t>According to a model developed by Kindred et al. (2008) approximately half the emissions from the variable component are attributable to manufacture, and half pro rata to farm operations.</t>
  </si>
  <si>
    <t>The formula therefore deducts the fixed component from the rest, which is then divided by 2, and then added back in.</t>
  </si>
  <si>
    <t>This approximates the 'proportion of the N proportion' (column V) that remains in the Scenario.</t>
  </si>
  <si>
    <t xml:space="preserve">The formula is: ((G*V)-(0.613*P))/2+(0.613*P).  </t>
  </si>
  <si>
    <t>It is adapted for each commodity by multiplying by the area intensity, column P.</t>
  </si>
  <si>
    <t>The number 0.613 represents the 'background emissions' per hectare estimated by the Kindred et al. model.</t>
  </si>
  <si>
    <t>The score for wheat is derived directly from the Kindred et al. (2008) study. Other scores are proxies based on this and could be subject to revision.</t>
  </si>
  <si>
    <t>The scenario assumes that both these can be reduced to near zero. Energy emissions are zero and N2O emissions can be negated by various technical measures, or by switching to urea as the main mineral-N fertiliser.</t>
  </si>
  <si>
    <t>AF</t>
  </si>
  <si>
    <t>Essentially UK and O/S products are added together on the assumption that the CEFs are harmonised, either by international agreement or by border carbon adjustments as proposed by Helm et al. (2012): Trade, climate change and the political game theory of border carbon adjustments. Dieter Helm, Cameron Hepburn and Giovanni Ruta. May 2012. Centre for Climate Change Economics and Policy, Working Paper No. 92.</t>
  </si>
  <si>
    <t xml:space="preserve">The formula is: G*(1-U)-((G*V)-(0.613*P))/2+(0.613*P).  </t>
  </si>
  <si>
    <t>Formula is AE*AF</t>
  </si>
  <si>
    <t>AG</t>
  </si>
  <si>
    <t>Rice differs on account of methane component</t>
  </si>
  <si>
    <t xml:space="preserve">Livestock production must be treated  differently on account of the methane component. </t>
  </si>
  <si>
    <t>Both energy and remediable nitrogen components should be deducted, leaving the methane component and the irremediable N2O</t>
  </si>
  <si>
    <t xml:space="preserve">However, it is unclear whether the Kindred et al. (2008) model would apply for mixed grazing and supplementary feeds </t>
  </si>
  <si>
    <t>In the case of livestock U+V do not add to unity because there is usually a third component, viz., methane.  The exception is wild fish, deemed to have no N2O component.</t>
  </si>
  <si>
    <t>The proxy adopted is to deduct known energy proportion and one third of the N2O proportion. This will be subject to revision.</t>
  </si>
  <si>
    <t>The formula is G*(1-U)-(G*V)/3</t>
  </si>
  <si>
    <t xml:space="preserve">For ruminants it has not been possible to partial out the proportion of N2O attributable to manufacture, because the grassland/grazing component is uncertain. </t>
  </si>
  <si>
    <t>The formula is G*(1-U)-((G*V)-(0.613*P))/2+(0.613*P)</t>
  </si>
  <si>
    <t>For non-grazing ruminants the Kindred et al formula could still apply, using the area intensity for feed</t>
  </si>
  <si>
    <t>These formulae remain provisional and subject to revision</t>
  </si>
  <si>
    <t>ktCO2e/y</t>
  </si>
  <si>
    <t xml:space="preserve"> GHGEs for 'basic scenario', known as 'Scenario 1'.</t>
  </si>
  <si>
    <t xml:space="preserve">Copy of total GHGE for all commodities.  This is the 'Headline result' giving a residual that feeds into the ZCB3 GHGE balance formula </t>
  </si>
  <si>
    <t>Copy of the total.</t>
  </si>
  <si>
    <t>Formula is AD*R*CONSTOT/RDCTOT/SCENARIOPOP/365</t>
  </si>
  <si>
    <t>It is adjusted for losses in the system and for the expected population in 2030</t>
  </si>
  <si>
    <t>This is a simple indicator that the Scenario delivers enough food energy into the system. 2000kcal/person/day is sufficient.3</t>
  </si>
  <si>
    <t>AH</t>
  </si>
  <si>
    <t>Food energy per person per day for Scenario commodity mix</t>
  </si>
  <si>
    <t>Protein per person per day</t>
  </si>
  <si>
    <t>Copy of the total. 60g/person/day is considered adequate</t>
  </si>
  <si>
    <t>AI</t>
  </si>
  <si>
    <t>Copy of total. 6500 is a provisional upper limit.</t>
  </si>
  <si>
    <t>Formula is AD*S*CONSTOT/RDCTOT/SCENARIOPOP/365</t>
  </si>
  <si>
    <t>AB*P</t>
  </si>
  <si>
    <t>AJ</t>
  </si>
  <si>
    <t>Arable Land Overseas</t>
  </si>
  <si>
    <t>AK</t>
  </si>
  <si>
    <t>Grazing area UK</t>
  </si>
  <si>
    <t>Copy of total</t>
  </si>
  <si>
    <t>Copy of total. NB grazing land overseas is negligible.</t>
  </si>
  <si>
    <t>Formula is AB*Q</t>
  </si>
  <si>
    <t>Formula is AC*P</t>
  </si>
  <si>
    <t>Copy of total. There is no limit unless it is used to calculate extra emissions from Land Use Change, in which case it should be as small as possible. Current overseas land use for UK consumptiuon is 5859</t>
  </si>
  <si>
    <t>AL</t>
  </si>
  <si>
    <t>Biomass area released by reduction of grazing.</t>
  </si>
  <si>
    <t>Named cell BIOMASSAREA</t>
  </si>
  <si>
    <t>Biomass area realeasd</t>
  </si>
  <si>
    <t>Copy of result</t>
  </si>
  <si>
    <t>Formula is 16000-(AI+AK). This assumes that if 16Mha of agricultural land are available after protected areas and other non-agricultural uses,  area available would be this total less grazing and arable</t>
  </si>
  <si>
    <t>AM</t>
  </si>
  <si>
    <t>www.bis.gov.uk/.../dr5a-possible-changes-to-arable-crop-yields.pdf</t>
  </si>
  <si>
    <t>Potential yield increases by 2030.</t>
  </si>
  <si>
    <t xml:space="preserve">There are reasons to expect both increases and decreases in yields in the next 15 years or so.  Jaggard et al. (2010) have published lists of expected yield changes for a variety of crops, and these have been used to model possible changes for the scenario. </t>
  </si>
  <si>
    <t xml:space="preserve">Possible changes to arable crop yields by 2050 , </t>
  </si>
  <si>
    <t xml:space="preserve">Keith W. Jaggard, Aiming Qi and Eric S. Ober, </t>
  </si>
  <si>
    <r>
      <t xml:space="preserve">Phil. Trans. R. Soc. B </t>
    </r>
    <r>
      <rPr>
        <sz val="11"/>
        <color theme="1"/>
        <rFont val="Calibri"/>
        <family val="2"/>
        <scheme val="minor"/>
      </rPr>
      <t xml:space="preserve">2010 </t>
    </r>
    <r>
      <rPr>
        <b/>
        <sz val="11"/>
        <color indexed="8"/>
        <rFont val="Calibri"/>
        <family val="2"/>
      </rPr>
      <t>365</t>
    </r>
    <r>
      <rPr>
        <sz val="11"/>
        <color theme="1"/>
        <rFont val="Calibri"/>
        <family val="2"/>
        <scheme val="minor"/>
      </rPr>
      <t>, 2835-2851</t>
    </r>
  </si>
  <si>
    <t xml:space="preserve">Where there are crops not discussed in the paper a default value of 1.2 has been assumed. </t>
  </si>
  <si>
    <t>Speculating about yields is risky, but the assumption o no yield improvements will occur in two decades, especially with the scenario's implied incentives, is less credible than the assumptions made here.</t>
  </si>
  <si>
    <t>AN</t>
  </si>
  <si>
    <t>Technical mitigation of GHGEs</t>
  </si>
  <si>
    <t>These coefficients are based on an extensive discussion in HLCWG. They are discussed further in the additional notes.</t>
  </si>
  <si>
    <t>The measures considered for the model are</t>
  </si>
  <si>
    <t>Reduction of waste, and nutrient recycling</t>
  </si>
  <si>
    <t>Widespread use of nitrification inhibitors in fertilisers</t>
  </si>
  <si>
    <t>Systematic AD treatment of housed livestock wastes</t>
  </si>
  <si>
    <t>Enteric methane inhibitors for ruminants</t>
  </si>
  <si>
    <t>The assumed effects of these measures are 40% reduction in GHGE for all crops and ruminants, 20% reduction for non-grazing livestock</t>
  </si>
  <si>
    <t>AO</t>
  </si>
  <si>
    <t>GHGE for Scenario 2</t>
  </si>
  <si>
    <t>Formula AF*AN</t>
  </si>
  <si>
    <t>AP</t>
  </si>
  <si>
    <t>Arable Land Use UK in Scenario 2</t>
  </si>
  <si>
    <t>Formula AI*AM</t>
  </si>
  <si>
    <t>AQ</t>
  </si>
  <si>
    <t>Arable land overseas</t>
  </si>
  <si>
    <t>Formula AJ*AM</t>
  </si>
  <si>
    <t>Scenario 1 keeps as many factors as possible the same as today</t>
  </si>
  <si>
    <t>Scenario 2: with additional measures of decarbonisation and yield increase. Nutritional factors will be as scenario 1</t>
  </si>
  <si>
    <t>AR</t>
  </si>
  <si>
    <t>Grazing land required</t>
  </si>
  <si>
    <t>Formula AK/AM</t>
  </si>
  <si>
    <t>AS</t>
  </si>
  <si>
    <t>Land available for biomass</t>
  </si>
  <si>
    <t>16000-(AP+AR)</t>
  </si>
  <si>
    <t>AU</t>
  </si>
  <si>
    <t>CEF for each commodity attributable to LUC, after HLCWG</t>
  </si>
  <si>
    <t>AV</t>
  </si>
  <si>
    <t>Actual LUC emissions</t>
  </si>
  <si>
    <t>Formula F*AU</t>
  </si>
  <si>
    <t>AW</t>
  </si>
  <si>
    <t>All emissions including LUC</t>
  </si>
  <si>
    <t>Formula I+J+(AU*F)</t>
  </si>
  <si>
    <t>This total is strikingly high at over 200MtCO2e, with livestock accounting for 157Mt.</t>
  </si>
  <si>
    <t>It is no wonder that most studies seek to treat it as a 'separate issue' or ignore it altogether.</t>
  </si>
  <si>
    <t>AX</t>
  </si>
  <si>
    <t>LUC emissions for scenario</t>
  </si>
  <si>
    <t>Formula AD*AU</t>
  </si>
  <si>
    <t>Much less than total under 48, largely due to reduced livestock levels, but still 40Mt</t>
  </si>
  <si>
    <t>Simply running the scenario results through the same algorithm</t>
  </si>
  <si>
    <t>AY</t>
  </si>
  <si>
    <t>Formula AU*AC</t>
  </si>
  <si>
    <t>LUC CEF applied to imports in scenario</t>
  </si>
  <si>
    <t>If this is the case, the Scenario would be more robust if it provided balancing sinks within the territorial UK</t>
  </si>
  <si>
    <t>LUC Scenario imports</t>
  </si>
  <si>
    <r>
      <t xml:space="preserve">Special study of UK and Israeli potatoies, Williams et al., 2009. </t>
    </r>
    <r>
      <rPr>
        <i/>
        <sz val="11"/>
        <color indexed="8"/>
        <rFont val="Calibri"/>
        <family val="2"/>
      </rPr>
      <t>Final Report for Defra Project FO0103, Comparative Life Cycle Assessment of Food Commodities Procured for UK Consumption through a Diversity of Supply Chains</t>
    </r>
  </si>
  <si>
    <t>In another paper specific to potatoes Williams et al (2009) Final Report for Defra Project FO0103, Comparative Life Cycle Assessment of Food Commodities Procured for UK Consumption through a Diversity of Supply Chains</t>
  </si>
  <si>
    <t>Revised CEF based on technical improvements</t>
  </si>
  <si>
    <t>Modelled quantities UK Adjusted for population growth</t>
  </si>
  <si>
    <t>Modelled quantities O/S adjusted for population growth</t>
  </si>
  <si>
    <t>20,21</t>
  </si>
  <si>
    <t>46-52</t>
  </si>
  <si>
    <t>25,27</t>
  </si>
  <si>
    <t>11-23</t>
  </si>
  <si>
    <t>27-34</t>
  </si>
  <si>
    <t>37-44</t>
  </si>
  <si>
    <t>37-39</t>
  </si>
  <si>
    <t>40-44</t>
  </si>
  <si>
    <t>IT could be argued that goods produced in the UK under scenario conditions do not entail indirect LUC emissions, but that imports might be considered to do so.</t>
  </si>
  <si>
    <t>The LUC calculated this way is just over 3.3MtCO2e.</t>
  </si>
  <si>
    <t>total including food imports</t>
  </si>
  <si>
    <t>UK ag emissions</t>
  </si>
  <si>
    <t>emissions generated by food imports</t>
  </si>
  <si>
    <t>Food processing</t>
  </si>
  <si>
    <t>UK agriculture now</t>
  </si>
  <si>
    <t>Imports now</t>
  </si>
  <si>
    <t>Imports after 2030</t>
  </si>
  <si>
    <t>Agriculture in UK</t>
  </si>
  <si>
    <t>Food imports</t>
  </si>
  <si>
    <t>Processing and consumption</t>
  </si>
  <si>
    <t>Post-decarbonisation emissions in UK</t>
  </si>
  <si>
    <t>UK agriculture emissions after 2030</t>
  </si>
  <si>
    <t>OILSEEDS</t>
  </si>
  <si>
    <t>LEGUMES</t>
  </si>
  <si>
    <t>GHGE INTENSITY, tCO2e/t product x 1000</t>
  </si>
  <si>
    <t>PRODUCTION, kt/y</t>
  </si>
  <si>
    <t xml:space="preserve">SHEEP MEAT </t>
  </si>
  <si>
    <t>PROTECTED CROPS</t>
  </si>
  <si>
    <t>Wheat</t>
  </si>
  <si>
    <t>Rice</t>
  </si>
  <si>
    <t>Misc. cereals</t>
  </si>
  <si>
    <t>Potatoes</t>
  </si>
  <si>
    <t>Veg UK</t>
  </si>
  <si>
    <t>Import Veg</t>
  </si>
  <si>
    <t>Fruit UK</t>
  </si>
  <si>
    <t>Import fruit</t>
  </si>
  <si>
    <t xml:space="preserve">Dairy </t>
  </si>
  <si>
    <t>Soya</t>
  </si>
  <si>
    <t>Eggs</t>
  </si>
  <si>
    <t>Beef</t>
  </si>
  <si>
    <t>Sheep</t>
  </si>
  <si>
    <t>Pig</t>
  </si>
  <si>
    <t>Poultry</t>
  </si>
  <si>
    <t>Offal</t>
  </si>
  <si>
    <t>Beans and legumes</t>
  </si>
  <si>
    <t>Nuts and seeds</t>
  </si>
  <si>
    <t>Sugar</t>
  </si>
  <si>
    <t>Oil</t>
  </si>
  <si>
    <t>Cocoa</t>
  </si>
  <si>
    <t>Grapes</t>
  </si>
  <si>
    <t>CEREALS</t>
  </si>
  <si>
    <t>VEG AND POTATOES</t>
  </si>
  <si>
    <t>LIVESTOCK FEED</t>
  </si>
  <si>
    <t>GRAZING</t>
  </si>
  <si>
    <t>kt product</t>
  </si>
  <si>
    <t>RAPESEED</t>
  </si>
  <si>
    <t>PLANTATION CROPS</t>
  </si>
  <si>
    <t>LEGUME CROPS</t>
  </si>
  <si>
    <t>SHEEP MEAT</t>
  </si>
  <si>
    <t>Normalised nutritional value score</t>
  </si>
  <si>
    <t>TOTAL GHGE</t>
  </si>
  <si>
    <t>PRODUCTION, FRESH WT., ktx2</t>
  </si>
  <si>
    <t>Total GHGE, kt/y</t>
  </si>
  <si>
    <t>Nutritional value, fresh wt x NP index</t>
  </si>
  <si>
    <t>NUTS &amp; SEEDS</t>
  </si>
  <si>
    <t>LAND</t>
  </si>
  <si>
    <t>Intensities</t>
  </si>
  <si>
    <t>IMPORTED PLANTATION CROPS</t>
  </si>
  <si>
    <t>THE PURPOSE OF THIS TAB IS TO EXPLORE DIFFERENT GRAPHICAL WAYS OF PRESENTING DATA GENERATED BY THE MAIN SPREADSHEET.</t>
  </si>
  <si>
    <t>Milk contains a great deal of water and can distort the totals for fresh weights. The reported weight is multiplied by 0.13 to approximate dry matter content.  Can make our data inconsistent with other sources</t>
  </si>
  <si>
    <t>DM</t>
  </si>
  <si>
    <t>Milk</t>
  </si>
  <si>
    <t>Milk products</t>
  </si>
  <si>
    <t>Total food</t>
  </si>
  <si>
    <t>YOUR SCENARIO</t>
  </si>
  <si>
    <t>MODEL OF PRESENT UK FOOD COMMODITIES SYSTEM, USING 2010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</si>
</sst>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2" x14ac:knownFonts="1">
    <font>
      <sz val="11"/>
      <color theme="1"/>
      <name val="Calibri"/>
      <family val="2"/>
      <scheme val="minor"/>
    </font>
    <font>
      <b/>
      <sz val="11"/>
      <color indexed="8"/>
      <name val="Calibri"/>
      <family val="2"/>
    </font>
    <font>
      <b/>
      <sz val="9"/>
      <color indexed="81"/>
      <name val="Tahoma"/>
      <family val="2"/>
    </font>
    <font>
      <sz val="9"/>
      <color indexed="81"/>
      <name val="Tahoma"/>
      <family val="2"/>
    </font>
    <font>
      <u/>
      <sz val="11"/>
      <color indexed="12"/>
      <name val="Calibri"/>
      <family val="2"/>
    </font>
    <font>
      <sz val="11"/>
      <name val="Calibri"/>
      <family val="2"/>
    </font>
    <font>
      <i/>
      <sz val="11"/>
      <color indexed="8"/>
      <name val="Calibri"/>
      <family val="2"/>
    </font>
    <font>
      <u/>
      <sz val="11"/>
      <color theme="1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10"/>
      <color theme="1"/>
      <name val="Calibri"/>
      <family val="2"/>
      <scheme val="minor"/>
    </font>
    <font>
      <sz val="11"/>
      <name val="Calibri"/>
      <family val="2"/>
      <scheme val="minor"/>
    </font>
    <font>
      <i/>
      <sz val="11"/>
      <color theme="1"/>
      <name val="Calibri"/>
      <family val="2"/>
      <scheme val="minor"/>
    </font>
    <font>
      <b/>
      <sz val="16"/>
      <color theme="1"/>
      <name val="Calibri"/>
      <family val="2"/>
      <scheme val="minor"/>
    </font>
    <font>
      <sz val="16"/>
      <color theme="1"/>
      <name val="Calibri"/>
      <family val="2"/>
      <scheme val="minor"/>
    </font>
    <font>
      <sz val="14"/>
      <color theme="1"/>
      <name val="Calibri"/>
      <family val="2"/>
      <scheme val="minor"/>
    </font>
    <font>
      <b/>
      <sz val="14"/>
      <color theme="1"/>
      <name val="Calibri"/>
      <family val="2"/>
      <scheme val="minor"/>
    </font>
    <font>
      <b/>
      <sz val="20"/>
      <color theme="1"/>
      <name val="Calibri"/>
      <family val="2"/>
      <scheme val="minor"/>
    </font>
    <font>
      <b/>
      <sz val="22"/>
      <color theme="1"/>
      <name val="Calibri"/>
      <family val="2"/>
      <scheme val="minor"/>
    </font>
    <font>
      <sz val="22"/>
      <color theme="1"/>
      <name val="Calibri"/>
      <family val="2"/>
      <scheme val="minor"/>
    </font>
    <font>
      <b/>
      <sz val="22"/>
      <name val="Calibri"/>
      <family val="2"/>
      <scheme val="minor"/>
    </font>
  </fonts>
  <fills count="17">
    <fill>
      <patternFill patternType="none"/>
    </fill>
    <fill>
      <patternFill patternType="gray125"/>
    </fill>
    <fill>
      <patternFill patternType="solid">
        <fgColor theme="9" tint="0.39997558519241921"/>
        <bgColor indexed="64"/>
      </patternFill>
    </fill>
    <fill>
      <patternFill patternType="solid">
        <fgColor rgb="FF92D050"/>
        <bgColor indexed="64"/>
      </patternFill>
    </fill>
    <fill>
      <patternFill patternType="solid">
        <fgColor rgb="FF00B0F0"/>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5" tint="-0.249977111117893"/>
        <bgColor indexed="64"/>
      </patternFill>
    </fill>
    <fill>
      <patternFill patternType="solid">
        <fgColor rgb="FFFF0000"/>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2"/>
        <bgColor indexed="64"/>
      </patternFill>
    </fill>
  </fills>
  <borders count="2">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7" fillId="0" borderId="0" applyNumberFormat="0" applyFill="0" applyBorder="0" applyAlignment="0" applyProtection="0"/>
  </cellStyleXfs>
  <cellXfs count="127">
    <xf numFmtId="0" fontId="0" fillId="0" borderId="0" xfId="0"/>
    <xf numFmtId="0" fontId="0" fillId="0" borderId="0" xfId="0" applyFill="1"/>
    <xf numFmtId="0" fontId="0" fillId="2" borderId="1" xfId="0" applyFill="1" applyBorder="1"/>
    <xf numFmtId="0" fontId="0" fillId="3" borderId="1" xfId="0" applyFill="1" applyBorder="1"/>
    <xf numFmtId="0" fontId="0" fillId="2" borderId="0" xfId="0" applyFill="1"/>
    <xf numFmtId="0" fontId="10" fillId="0" borderId="0" xfId="0" applyFont="1"/>
    <xf numFmtId="0" fontId="0" fillId="0" borderId="1" xfId="0" applyBorder="1"/>
    <xf numFmtId="0" fontId="10" fillId="4" borderId="0" xfId="0" applyFont="1" applyFill="1" applyAlignment="1">
      <alignment horizontal="center"/>
    </xf>
    <xf numFmtId="0" fontId="0" fillId="3" borderId="0" xfId="0" applyFill="1"/>
    <xf numFmtId="0" fontId="0" fillId="4" borderId="0" xfId="0"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8" fillId="0" borderId="0" xfId="0" applyFont="1"/>
    <xf numFmtId="0" fontId="0" fillId="0" borderId="0" xfId="0" applyFill="1" applyBorder="1"/>
    <xf numFmtId="0" fontId="0" fillId="0" borderId="0" xfId="0" applyAlignment="1">
      <alignment horizontal="right"/>
    </xf>
    <xf numFmtId="0" fontId="0" fillId="0" borderId="0" xfId="0" applyAlignment="1">
      <alignment textRotation="90" wrapText="1"/>
    </xf>
    <xf numFmtId="0" fontId="0" fillId="0" borderId="0" xfId="0" applyFill="1" applyAlignment="1">
      <alignment textRotation="90" wrapText="1"/>
    </xf>
    <xf numFmtId="0" fontId="0" fillId="2" borderId="1" xfId="0" applyFill="1" applyBorder="1" applyAlignment="1">
      <alignment textRotation="90" wrapText="1"/>
    </xf>
    <xf numFmtId="0" fontId="0" fillId="2" borderId="0" xfId="0" applyFill="1" applyAlignment="1">
      <alignment textRotation="90" wrapText="1"/>
    </xf>
    <xf numFmtId="0" fontId="0" fillId="0" borderId="0" xfId="0" applyAlignment="1">
      <alignment textRotation="90"/>
    </xf>
    <xf numFmtId="1" fontId="0" fillId="0" borderId="0" xfId="0" applyNumberFormat="1" applyFill="1"/>
    <xf numFmtId="1" fontId="0" fillId="2" borderId="1" xfId="0" applyNumberFormat="1" applyFill="1" applyBorder="1"/>
    <xf numFmtId="2" fontId="0" fillId="0" borderId="0" xfId="0" applyNumberFormat="1"/>
    <xf numFmtId="2" fontId="0" fillId="0" borderId="0" xfId="0" applyNumberFormat="1" applyFill="1"/>
    <xf numFmtId="0" fontId="8" fillId="3" borderId="1" xfId="0" applyFont="1" applyFill="1" applyBorder="1"/>
    <xf numFmtId="164" fontId="0" fillId="0" borderId="0" xfId="0" applyNumberFormat="1"/>
    <xf numFmtId="164" fontId="0" fillId="0" borderId="0" xfId="0" applyNumberFormat="1" applyFill="1"/>
    <xf numFmtId="1" fontId="0" fillId="2" borderId="0" xfId="0" applyNumberFormat="1" applyFill="1"/>
    <xf numFmtId="1" fontId="0" fillId="0" borderId="0" xfId="0" applyNumberFormat="1"/>
    <xf numFmtId="0" fontId="8" fillId="0" borderId="0" xfId="0" applyFont="1" applyFill="1"/>
    <xf numFmtId="0" fontId="11" fillId="0" borderId="0" xfId="0" applyFont="1" applyFill="1"/>
    <xf numFmtId="0" fontId="11" fillId="0" borderId="0" xfId="0" applyFont="1"/>
    <xf numFmtId="1" fontId="8" fillId="0" borderId="0" xfId="0" applyNumberFormat="1" applyFont="1" applyFill="1"/>
    <xf numFmtId="9" fontId="0" fillId="0" borderId="0" xfId="0" applyNumberFormat="1" applyFill="1"/>
    <xf numFmtId="0" fontId="0" fillId="0" borderId="0" xfId="0" applyFill="1" applyAlignment="1">
      <alignment horizontal="right"/>
    </xf>
    <xf numFmtId="0" fontId="0" fillId="2" borderId="1" xfId="0" applyFill="1" applyBorder="1" applyAlignment="1">
      <alignment horizontal="right"/>
    </xf>
    <xf numFmtId="0" fontId="0" fillId="2" borderId="1" xfId="0" applyFill="1" applyBorder="1" applyAlignment="1">
      <alignment horizontal="center"/>
    </xf>
    <xf numFmtId="164" fontId="0" fillId="2" borderId="0" xfId="0" applyNumberFormat="1" applyFill="1"/>
    <xf numFmtId="0" fontId="0" fillId="0" borderId="0" xfId="0" applyAlignment="1">
      <alignment horizontal="center"/>
    </xf>
    <xf numFmtId="0" fontId="8" fillId="0" borderId="0" xfId="0" applyFont="1" applyAlignment="1">
      <alignment horizontal="center"/>
    </xf>
    <xf numFmtId="0" fontId="0" fillId="0" borderId="0" xfId="0" applyAlignment="1">
      <alignment horizontal="left"/>
    </xf>
    <xf numFmtId="0" fontId="0" fillId="0" borderId="0" xfId="0" applyAlignment="1"/>
    <xf numFmtId="0" fontId="0" fillId="0" borderId="0" xfId="0" applyFont="1" applyAlignment="1">
      <alignment horizontal="center"/>
    </xf>
    <xf numFmtId="0" fontId="0" fillId="0" borderId="0" xfId="0" applyFont="1"/>
    <xf numFmtId="49" fontId="0" fillId="0" borderId="0" xfId="0" applyNumberFormat="1"/>
    <xf numFmtId="0" fontId="7" fillId="0" borderId="0" xfId="1"/>
    <xf numFmtId="0" fontId="12" fillId="0" borderId="0" xfId="1" applyFont="1"/>
    <xf numFmtId="0" fontId="12" fillId="0" borderId="0" xfId="0" applyFont="1" applyAlignment="1">
      <alignment horizontal="center"/>
    </xf>
    <xf numFmtId="0" fontId="12" fillId="0" borderId="0" xfId="0" applyFont="1"/>
    <xf numFmtId="0" fontId="0" fillId="0" borderId="0" xfId="0" quotePrefix="1"/>
    <xf numFmtId="0" fontId="8" fillId="3" borderId="1" xfId="0" applyFont="1" applyFill="1" applyBorder="1" applyAlignment="1">
      <alignment textRotation="90" wrapText="1"/>
    </xf>
    <xf numFmtId="0" fontId="0" fillId="10" borderId="0" xfId="0" applyFill="1" applyAlignment="1">
      <alignment textRotation="90" wrapText="1"/>
    </xf>
    <xf numFmtId="2" fontId="0" fillId="10" borderId="0" xfId="0" applyNumberFormat="1" applyFill="1"/>
    <xf numFmtId="0" fontId="0" fillId="9" borderId="0" xfId="0" applyFill="1" applyAlignment="1">
      <alignment textRotation="90" wrapText="1"/>
    </xf>
    <xf numFmtId="164" fontId="10" fillId="4" borderId="0" xfId="0" applyNumberFormat="1" applyFont="1" applyFill="1"/>
    <xf numFmtId="0" fontId="0" fillId="0" borderId="1" xfId="0" applyFill="1" applyBorder="1"/>
    <xf numFmtId="0" fontId="0" fillId="2" borderId="0" xfId="0" applyFill="1" applyBorder="1"/>
    <xf numFmtId="0" fontId="8" fillId="0" borderId="0" xfId="0" applyFont="1" applyAlignment="1"/>
    <xf numFmtId="0" fontId="13" fillId="0" borderId="0" xfId="0" applyFont="1"/>
    <xf numFmtId="0" fontId="9" fillId="0" borderId="0" xfId="0" applyFont="1"/>
    <xf numFmtId="0" fontId="9" fillId="0" borderId="0" xfId="0" applyFont="1" applyAlignment="1">
      <alignment horizontal="left"/>
    </xf>
    <xf numFmtId="0" fontId="0" fillId="11" borderId="0" xfId="0" applyFill="1"/>
    <xf numFmtId="0" fontId="0" fillId="9" borderId="0" xfId="0" applyFill="1" applyAlignment="1">
      <alignment horizontal="right"/>
    </xf>
    <xf numFmtId="16" fontId="0" fillId="0" borderId="0" xfId="0" applyNumberFormat="1"/>
    <xf numFmtId="0" fontId="14" fillId="0" borderId="0" xfId="0" applyFont="1"/>
    <xf numFmtId="0" fontId="15" fillId="0" borderId="0" xfId="0" applyFont="1"/>
    <xf numFmtId="0" fontId="15" fillId="0" borderId="0" xfId="0" applyFont="1" applyFill="1"/>
    <xf numFmtId="0" fontId="15" fillId="2" borderId="1" xfId="0" applyFont="1" applyFill="1" applyBorder="1"/>
    <xf numFmtId="0" fontId="15" fillId="0" borderId="0" xfId="0" applyFont="1" applyFill="1" applyBorder="1"/>
    <xf numFmtId="0" fontId="14" fillId="8" borderId="1" xfId="0" applyFont="1" applyFill="1" applyBorder="1"/>
    <xf numFmtId="0" fontId="15" fillId="8" borderId="0" xfId="0" applyFont="1" applyFill="1"/>
    <xf numFmtId="0" fontId="16" fillId="5" borderId="0" xfId="0" applyFont="1" applyFill="1" applyAlignment="1">
      <alignment wrapText="1"/>
    </xf>
    <xf numFmtId="0" fontId="16" fillId="5" borderId="0" xfId="0" applyFont="1" applyFill="1"/>
    <xf numFmtId="1" fontId="16" fillId="5" borderId="1" xfId="0" applyNumberFormat="1" applyFont="1" applyFill="1" applyBorder="1"/>
    <xf numFmtId="1" fontId="16" fillId="5" borderId="0" xfId="0" applyNumberFormat="1" applyFont="1" applyFill="1"/>
    <xf numFmtId="0" fontId="16" fillId="5" borderId="0" xfId="0" applyFont="1" applyFill="1" applyAlignment="1">
      <alignment horizontal="right"/>
    </xf>
    <xf numFmtId="0" fontId="16" fillId="5" borderId="1" xfId="0" applyFont="1" applyFill="1" applyBorder="1"/>
    <xf numFmtId="0" fontId="17" fillId="5" borderId="0" xfId="0" applyFont="1" applyFill="1"/>
    <xf numFmtId="1" fontId="17" fillId="5" borderId="0" xfId="0" applyNumberFormat="1" applyFont="1" applyFill="1"/>
    <xf numFmtId="164" fontId="16" fillId="5" borderId="0" xfId="0" applyNumberFormat="1" applyFont="1" applyFill="1"/>
    <xf numFmtId="0" fontId="16" fillId="0" borderId="0" xfId="0" applyFont="1"/>
    <xf numFmtId="0" fontId="16" fillId="6" borderId="0" xfId="0" applyFont="1" applyFill="1" applyAlignment="1">
      <alignment wrapText="1"/>
    </xf>
    <xf numFmtId="0" fontId="16" fillId="6" borderId="0" xfId="0" applyFont="1" applyFill="1"/>
    <xf numFmtId="1" fontId="16" fillId="6" borderId="1" xfId="0" applyNumberFormat="1" applyFont="1" applyFill="1" applyBorder="1"/>
    <xf numFmtId="1" fontId="16" fillId="6" borderId="0" xfId="0" applyNumberFormat="1" applyFont="1" applyFill="1"/>
    <xf numFmtId="2" fontId="16" fillId="6" borderId="0" xfId="0" applyNumberFormat="1" applyFont="1" applyFill="1"/>
    <xf numFmtId="0" fontId="16" fillId="6" borderId="1" xfId="0" applyFont="1" applyFill="1" applyBorder="1"/>
    <xf numFmtId="164" fontId="16" fillId="6" borderId="0" xfId="0" applyNumberFormat="1" applyFont="1" applyFill="1"/>
    <xf numFmtId="0" fontId="18" fillId="7" borderId="0" xfId="0" applyFont="1" applyFill="1"/>
    <xf numFmtId="1" fontId="18" fillId="7" borderId="0" xfId="0" applyNumberFormat="1" applyFont="1" applyFill="1"/>
    <xf numFmtId="1" fontId="18" fillId="9" borderId="1" xfId="0" applyNumberFormat="1" applyFont="1" applyFill="1" applyBorder="1"/>
    <xf numFmtId="1" fontId="18" fillId="14" borderId="0" xfId="0" applyNumberFormat="1" applyFont="1" applyFill="1"/>
    <xf numFmtId="0" fontId="18" fillId="7" borderId="0" xfId="0" applyFont="1" applyFill="1" applyAlignment="1">
      <alignment horizontal="right"/>
    </xf>
    <xf numFmtId="0" fontId="18" fillId="7" borderId="1" xfId="0" applyFont="1" applyFill="1" applyBorder="1"/>
    <xf numFmtId="165" fontId="18" fillId="7" borderId="0" xfId="0" applyNumberFormat="1" applyFont="1" applyFill="1"/>
    <xf numFmtId="0" fontId="18" fillId="12" borderId="0" xfId="0" applyFont="1" applyFill="1"/>
    <xf numFmtId="0" fontId="18" fillId="0" borderId="0" xfId="0" applyFont="1"/>
    <xf numFmtId="0" fontId="18" fillId="13" borderId="0" xfId="0" applyFont="1" applyFill="1"/>
    <xf numFmtId="1" fontId="18" fillId="13" borderId="0" xfId="0" applyNumberFormat="1" applyFont="1" applyFill="1"/>
    <xf numFmtId="1" fontId="18" fillId="8" borderId="1" xfId="0" applyNumberFormat="1" applyFont="1" applyFill="1" applyBorder="1"/>
    <xf numFmtId="1" fontId="19" fillId="5" borderId="1" xfId="0" applyNumberFormat="1" applyFont="1" applyFill="1" applyBorder="1"/>
    <xf numFmtId="0" fontId="20" fillId="8" borderId="0" xfId="0" applyFont="1" applyFill="1"/>
    <xf numFmtId="1" fontId="21" fillId="12" borderId="0" xfId="0" applyNumberFormat="1" applyFont="1" applyFill="1"/>
    <xf numFmtId="1" fontId="19" fillId="8" borderId="0" xfId="0" applyNumberFormat="1" applyFont="1" applyFill="1"/>
    <xf numFmtId="1" fontId="19" fillId="15" borderId="0" xfId="0" applyNumberFormat="1" applyFont="1" applyFill="1" applyAlignment="1">
      <alignment horizontal="center"/>
    </xf>
    <xf numFmtId="1" fontId="19" fillId="0" borderId="0" xfId="0" applyNumberFormat="1" applyFont="1" applyFill="1" applyAlignment="1">
      <alignment horizontal="center"/>
    </xf>
    <xf numFmtId="0" fontId="0" fillId="16" borderId="0" xfId="0" applyFill="1"/>
    <xf numFmtId="0" fontId="0" fillId="16" borderId="0" xfId="0" applyFill="1" applyBorder="1"/>
    <xf numFmtId="0" fontId="8" fillId="16" borderId="0" xfId="0" applyFont="1" applyFill="1"/>
    <xf numFmtId="0" fontId="14" fillId="16" borderId="0" xfId="0" applyFont="1" applyFill="1"/>
    <xf numFmtId="0" fontId="15" fillId="16" borderId="0" xfId="0" applyFont="1" applyFill="1"/>
    <xf numFmtId="1" fontId="14" fillId="16" borderId="0" xfId="0" applyNumberFormat="1" applyFont="1" applyFill="1"/>
    <xf numFmtId="0" fontId="0" fillId="16" borderId="0" xfId="0" applyFill="1" applyAlignment="1">
      <alignment textRotation="90" wrapText="1"/>
    </xf>
    <xf numFmtId="1" fontId="0" fillId="16" borderId="0" xfId="0" applyNumberFormat="1" applyFill="1"/>
    <xf numFmtId="2" fontId="0" fillId="16" borderId="0" xfId="0" applyNumberFormat="1" applyFill="1"/>
    <xf numFmtId="164" fontId="16" fillId="16" borderId="0" xfId="0" applyNumberFormat="1" applyFont="1" applyFill="1"/>
    <xf numFmtId="2" fontId="16" fillId="16" borderId="0" xfId="0" applyNumberFormat="1" applyFont="1" applyFill="1"/>
    <xf numFmtId="1" fontId="16" fillId="16" borderId="0" xfId="0" applyNumberFormat="1" applyFont="1" applyFill="1"/>
    <xf numFmtId="0" fontId="16" fillId="16" borderId="0" xfId="0" applyFont="1" applyFill="1"/>
    <xf numFmtId="0" fontId="18" fillId="16" borderId="0" xfId="0" applyFont="1" applyFill="1"/>
    <xf numFmtId="2" fontId="18" fillId="16" borderId="0" xfId="0" applyNumberFormat="1" applyFont="1" applyFill="1"/>
    <xf numFmtId="1" fontId="18" fillId="16" borderId="0" xfId="0" applyNumberFormat="1" applyFont="1" applyFill="1"/>
    <xf numFmtId="0" fontId="0" fillId="16" borderId="0" xfId="0" applyFill="1" applyAlignment="1">
      <alignment horizontal="right"/>
    </xf>
    <xf numFmtId="1" fontId="8" fillId="16" borderId="0" xfId="0" applyNumberFormat="1" applyFont="1"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n-GB"/>
              <a:t>Emissions</a:t>
            </a:r>
          </a:p>
        </c:rich>
      </c:tx>
      <c:layout>
        <c:manualLayout>
          <c:xMode val="edge"/>
          <c:yMode val="edge"/>
          <c:x val="0.70810915388153806"/>
          <c:y val="7.8703167285436471E-2"/>
        </c:manualLayout>
      </c:layout>
      <c:overlay val="1"/>
    </c:title>
    <c:autoTitleDeleted val="0"/>
    <c:plotArea>
      <c:layout/>
      <c:barChart>
        <c:barDir val="col"/>
        <c:grouping val="stacked"/>
        <c:varyColors val="0"/>
        <c:ser>
          <c:idx val="0"/>
          <c:order val="0"/>
          <c:tx>
            <c:strRef>
              <c:f>'[1]MASTER SHEET'!$AB$45</c:f>
              <c:strCache>
                <c:ptCount val="1"/>
                <c:pt idx="0">
                  <c:v>DIRECT GHGE</c:v>
                </c:pt>
              </c:strCache>
            </c:strRef>
          </c:tx>
          <c:invertIfNegative val="0"/>
          <c:cat>
            <c:strRef>
              <c:f>'[1]MASTER SHEET'!$AA$46:$AA$47</c:f>
              <c:strCache>
                <c:ptCount val="2"/>
                <c:pt idx="0">
                  <c:v>Crops</c:v>
                </c:pt>
                <c:pt idx="1">
                  <c:v>Livestock</c:v>
                </c:pt>
              </c:strCache>
            </c:strRef>
          </c:cat>
          <c:val>
            <c:numRef>
              <c:f>'[1]MASTER SHEET'!$AB$46:$AB$47</c:f>
              <c:numCache>
                <c:formatCode>General</c:formatCode>
                <c:ptCount val="2"/>
                <c:pt idx="0">
                  <c:v>36103</c:v>
                </c:pt>
                <c:pt idx="1">
                  <c:v>55935</c:v>
                </c:pt>
              </c:numCache>
            </c:numRef>
          </c:val>
          <c:extLst>
            <c:ext xmlns:c16="http://schemas.microsoft.com/office/drawing/2014/chart" uri="{C3380CC4-5D6E-409C-BE32-E72D297353CC}">
              <c16:uniqueId val="{00000000-294C-4A55-B0D3-916633B56035}"/>
            </c:ext>
          </c:extLst>
        </c:ser>
        <c:ser>
          <c:idx val="1"/>
          <c:order val="1"/>
          <c:tx>
            <c:strRef>
              <c:f>'[1]MASTER SHEET'!$AC$45</c:f>
              <c:strCache>
                <c:ptCount val="1"/>
                <c:pt idx="0">
                  <c:v>INCLUDING LUC</c:v>
                </c:pt>
              </c:strCache>
            </c:strRef>
          </c:tx>
          <c:invertIfNegative val="0"/>
          <c:cat>
            <c:strRef>
              <c:f>'[1]MASTER SHEET'!$AA$46:$AA$47</c:f>
              <c:strCache>
                <c:ptCount val="2"/>
                <c:pt idx="0">
                  <c:v>Crops</c:v>
                </c:pt>
                <c:pt idx="1">
                  <c:v>Livestock</c:v>
                </c:pt>
              </c:strCache>
            </c:strRef>
          </c:cat>
          <c:val>
            <c:numRef>
              <c:f>'[1]MASTER SHEET'!$AC$46:$AC$47</c:f>
              <c:numCache>
                <c:formatCode>General</c:formatCode>
                <c:ptCount val="2"/>
                <c:pt idx="0">
                  <c:v>15965</c:v>
                </c:pt>
                <c:pt idx="1">
                  <c:v>116510</c:v>
                </c:pt>
              </c:numCache>
            </c:numRef>
          </c:val>
          <c:extLst>
            <c:ext xmlns:c16="http://schemas.microsoft.com/office/drawing/2014/chart" uri="{C3380CC4-5D6E-409C-BE32-E72D297353CC}">
              <c16:uniqueId val="{00000001-294C-4A55-B0D3-916633B56035}"/>
            </c:ext>
          </c:extLst>
        </c:ser>
        <c:dLbls>
          <c:showLegendKey val="0"/>
          <c:showVal val="0"/>
          <c:showCatName val="0"/>
          <c:showSerName val="0"/>
          <c:showPercent val="0"/>
          <c:showBubbleSize val="0"/>
        </c:dLbls>
        <c:gapWidth val="150"/>
        <c:overlap val="100"/>
        <c:axId val="298592768"/>
        <c:axId val="1"/>
      </c:barChart>
      <c:catAx>
        <c:axId val="2985927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ktCO2e</a:t>
                </a:r>
              </a:p>
            </c:rich>
          </c:tx>
          <c:overlay val="0"/>
        </c:title>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98592768"/>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solidFill>
              <a:schemeClr val="accent3">
                <a:lumMod val="60000"/>
                <a:lumOff val="40000"/>
              </a:schemeClr>
            </a:solidFill>
          </c:spPr>
          <c:dPt>
            <c:idx val="0"/>
            <c:bubble3D val="0"/>
            <c:extLst>
              <c:ext xmlns:c16="http://schemas.microsoft.com/office/drawing/2014/chart" uri="{C3380CC4-5D6E-409C-BE32-E72D297353CC}">
                <c16:uniqueId val="{00000000-45B9-4B05-807A-EE0F63FF6516}"/>
              </c:ext>
            </c:extLst>
          </c:dPt>
          <c:dPt>
            <c:idx val="1"/>
            <c:bubble3D val="0"/>
            <c:extLst>
              <c:ext xmlns:c16="http://schemas.microsoft.com/office/drawing/2014/chart" uri="{C3380CC4-5D6E-409C-BE32-E72D297353CC}">
                <c16:uniqueId val="{00000001-45B9-4B05-807A-EE0F63FF6516}"/>
              </c:ext>
            </c:extLst>
          </c:dPt>
          <c:dPt>
            <c:idx val="2"/>
            <c:bubble3D val="0"/>
            <c:spPr>
              <a:solidFill>
                <a:schemeClr val="accent2">
                  <a:lumMod val="40000"/>
                  <a:lumOff val="60000"/>
                </a:schemeClr>
              </a:solidFill>
            </c:spPr>
            <c:extLst>
              <c:ext xmlns:c16="http://schemas.microsoft.com/office/drawing/2014/chart" uri="{C3380CC4-5D6E-409C-BE32-E72D297353CC}">
                <c16:uniqueId val="{00000002-45B9-4B05-807A-EE0F63FF6516}"/>
              </c:ext>
            </c:extLst>
          </c:dPt>
          <c:dLbls>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Ref>
              <c:f>'TABLES AND GRAPHS'!$E$12:$E$14</c:f>
              <c:strCache>
                <c:ptCount val="3"/>
                <c:pt idx="0">
                  <c:v>Agriculture in UK</c:v>
                </c:pt>
                <c:pt idx="1">
                  <c:v>Processing and consumption</c:v>
                </c:pt>
                <c:pt idx="2">
                  <c:v>Food imports</c:v>
                </c:pt>
              </c:strCache>
            </c:strRef>
          </c:cat>
          <c:val>
            <c:numRef>
              <c:f>'TABLES AND GRAPHS'!$F$12:$F$14</c:f>
              <c:numCache>
                <c:formatCode>General</c:formatCode>
                <c:ptCount val="3"/>
                <c:pt idx="0">
                  <c:v>15</c:v>
                </c:pt>
                <c:pt idx="1">
                  <c:v>0</c:v>
                </c:pt>
                <c:pt idx="2">
                  <c:v>3.5</c:v>
                </c:pt>
              </c:numCache>
            </c:numRef>
          </c:val>
          <c:extLst>
            <c:ext xmlns:c16="http://schemas.microsoft.com/office/drawing/2014/chart" uri="{C3380CC4-5D6E-409C-BE32-E72D297353CC}">
              <c16:uniqueId val="{00000003-45B9-4B05-807A-EE0F63FF6516}"/>
            </c:ext>
          </c:extLst>
        </c:ser>
        <c:ser>
          <c:idx val="1"/>
          <c:order val="1"/>
          <c:spPr>
            <a:noFill/>
          </c:spPr>
          <c:dPt>
            <c:idx val="0"/>
            <c:bubble3D val="0"/>
            <c:extLst>
              <c:ext xmlns:c16="http://schemas.microsoft.com/office/drawing/2014/chart" uri="{C3380CC4-5D6E-409C-BE32-E72D297353CC}">
                <c16:uniqueId val="{00000004-45B9-4B05-807A-EE0F63FF6516}"/>
              </c:ext>
            </c:extLst>
          </c:dPt>
          <c:dPt>
            <c:idx val="1"/>
            <c:bubble3D val="0"/>
            <c:extLst>
              <c:ext xmlns:c16="http://schemas.microsoft.com/office/drawing/2014/chart" uri="{C3380CC4-5D6E-409C-BE32-E72D297353CC}">
                <c16:uniqueId val="{00000005-45B9-4B05-807A-EE0F63FF6516}"/>
              </c:ext>
            </c:extLst>
          </c:dPt>
          <c:dPt>
            <c:idx val="2"/>
            <c:bubble3D val="0"/>
            <c:extLst>
              <c:ext xmlns:c16="http://schemas.microsoft.com/office/drawing/2014/chart" uri="{C3380CC4-5D6E-409C-BE32-E72D297353CC}">
                <c16:uniqueId val="{00000006-45B9-4B05-807A-EE0F63FF6516}"/>
              </c:ext>
            </c:extLst>
          </c:dPt>
          <c:cat>
            <c:strRef>
              <c:f>'TABLES AND GRAPHS'!$E$12:$E$14</c:f>
              <c:strCache>
                <c:ptCount val="3"/>
                <c:pt idx="0">
                  <c:v>Agriculture in UK</c:v>
                </c:pt>
                <c:pt idx="1">
                  <c:v>Processing and consumption</c:v>
                </c:pt>
                <c:pt idx="2">
                  <c:v>Food imports</c:v>
                </c:pt>
              </c:strCache>
            </c:strRef>
          </c:cat>
          <c:val>
            <c:numRef>
              <c:f>'TABLES AND GRAPHS'!$G$12:$G$14</c:f>
              <c:numCache>
                <c:formatCode>General</c:formatCode>
                <c:ptCount val="3"/>
              </c:numCache>
            </c:numRef>
          </c:val>
          <c:extLst>
            <c:ext xmlns:c16="http://schemas.microsoft.com/office/drawing/2014/chart" uri="{C3380CC4-5D6E-409C-BE32-E72D297353CC}">
              <c16:uniqueId val="{00000007-45B9-4B05-807A-EE0F63FF6516}"/>
            </c:ext>
          </c:extLst>
        </c:ser>
        <c:ser>
          <c:idx val="2"/>
          <c:order val="2"/>
          <c:dPt>
            <c:idx val="0"/>
            <c:bubble3D val="0"/>
            <c:extLst>
              <c:ext xmlns:c16="http://schemas.microsoft.com/office/drawing/2014/chart" uri="{C3380CC4-5D6E-409C-BE32-E72D297353CC}">
                <c16:uniqueId val="{00000008-45B9-4B05-807A-EE0F63FF6516}"/>
              </c:ext>
            </c:extLst>
          </c:dPt>
          <c:dPt>
            <c:idx val="1"/>
            <c:bubble3D val="0"/>
            <c:extLst>
              <c:ext xmlns:c16="http://schemas.microsoft.com/office/drawing/2014/chart" uri="{C3380CC4-5D6E-409C-BE32-E72D297353CC}">
                <c16:uniqueId val="{00000009-45B9-4B05-807A-EE0F63FF6516}"/>
              </c:ext>
            </c:extLst>
          </c:dPt>
          <c:dPt>
            <c:idx val="2"/>
            <c:bubble3D val="0"/>
            <c:extLst>
              <c:ext xmlns:c16="http://schemas.microsoft.com/office/drawing/2014/chart" uri="{C3380CC4-5D6E-409C-BE32-E72D297353CC}">
                <c16:uniqueId val="{0000000A-45B9-4B05-807A-EE0F63FF6516}"/>
              </c:ext>
            </c:extLst>
          </c:dPt>
          <c:dLbls>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Ref>
              <c:f>'TABLES AND GRAPHS'!$E$12:$E$14</c:f>
              <c:strCache>
                <c:ptCount val="3"/>
                <c:pt idx="0">
                  <c:v>Agriculture in UK</c:v>
                </c:pt>
                <c:pt idx="1">
                  <c:v>Processing and consumption</c:v>
                </c:pt>
                <c:pt idx="2">
                  <c:v>Food imports</c:v>
                </c:pt>
              </c:strCache>
            </c:strRef>
          </c:cat>
          <c:val>
            <c:numRef>
              <c:f>'TABLES AND GRAPHS'!$H$12:$H$14</c:f>
              <c:numCache>
                <c:formatCode>General</c:formatCode>
                <c:ptCount val="3"/>
                <c:pt idx="0">
                  <c:v>63.4</c:v>
                </c:pt>
                <c:pt idx="1">
                  <c:v>61</c:v>
                </c:pt>
                <c:pt idx="2">
                  <c:v>29</c:v>
                </c:pt>
              </c:numCache>
            </c:numRef>
          </c:val>
          <c:extLst>
            <c:ext xmlns:c16="http://schemas.microsoft.com/office/drawing/2014/chart" uri="{C3380CC4-5D6E-409C-BE32-E72D297353CC}">
              <c16:uniqueId val="{0000000B-45B9-4B05-807A-EE0F63FF6516}"/>
            </c:ext>
          </c:extLst>
        </c:ser>
        <c:dLbls>
          <c:showLegendKey val="0"/>
          <c:showVal val="0"/>
          <c:showCatName val="0"/>
          <c:showSerName val="0"/>
          <c:showPercent val="0"/>
          <c:showBubbleSize val="0"/>
          <c:showLeaderLines val="0"/>
        </c:dLbls>
        <c:firstSliceAng val="0"/>
        <c:holeSize val="10"/>
      </c:doughnutChart>
      <c:spPr>
        <a:noFill/>
        <a:ln w="25400">
          <a:noFill/>
        </a:ln>
      </c:spPr>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'TABLES AND GRAPHS'!$B$20:$B$48</c:f>
              <c:strCache>
                <c:ptCount val="21"/>
                <c:pt idx="2">
                  <c:v>OATS</c:v>
                </c:pt>
                <c:pt idx="3">
                  <c:v>OTHER CEREALS</c:v>
                </c:pt>
                <c:pt idx="4">
                  <c:v>OSR</c:v>
                </c:pt>
                <c:pt idx="12">
                  <c:v>ALL OTHER UK CROPS</c:v>
                </c:pt>
                <c:pt idx="15">
                  <c:v>OTHER PLANTATION CROPS</c:v>
                </c:pt>
                <c:pt idx="19">
                  <c:v>WINE</c:v>
                </c:pt>
                <c:pt idx="20">
                  <c:v>ALL OTHER IMPORTED CROP FOODS</c:v>
                </c:pt>
              </c:strCache>
            </c:strRef>
          </c:cat>
          <c:val>
            <c:numRef>
              <c:f>'TABLES AND GRAPHS'!$C$20:$C$48</c:f>
              <c:numCache>
                <c:formatCode>General</c:formatCode>
                <c:ptCount val="29"/>
                <c:pt idx="2" formatCode="0">
                  <c:v>418</c:v>
                </c:pt>
                <c:pt idx="3" formatCode="0">
                  <c:v>300</c:v>
                </c:pt>
                <c:pt idx="12" formatCode="0">
                  <c:v>200</c:v>
                </c:pt>
                <c:pt idx="15" formatCode="0">
                  <c:v>400</c:v>
                </c:pt>
                <c:pt idx="19" formatCode="0">
                  <c:v>125</c:v>
                </c:pt>
                <c:pt idx="20" formatCode="0">
                  <c:v>500</c:v>
                </c:pt>
              </c:numCache>
            </c:numRef>
          </c:val>
          <c:extLst>
            <c:ext xmlns:c16="http://schemas.microsoft.com/office/drawing/2014/chart" uri="{C3380CC4-5D6E-409C-BE32-E72D297353CC}">
              <c16:uniqueId val="{00000000-99C2-4895-95CD-114F72CBF992}"/>
            </c:ext>
          </c:extLst>
        </c:ser>
        <c:ser>
          <c:idx val="1"/>
          <c:order val="1"/>
          <c:invertIfNegative val="0"/>
          <c:cat>
            <c:strRef>
              <c:f>'TABLES AND GRAPHS'!$B$20:$B$48</c:f>
              <c:strCache>
                <c:ptCount val="21"/>
                <c:pt idx="2">
                  <c:v>OATS</c:v>
                </c:pt>
                <c:pt idx="3">
                  <c:v>OTHER CEREALS</c:v>
                </c:pt>
                <c:pt idx="4">
                  <c:v>OSR</c:v>
                </c:pt>
                <c:pt idx="12">
                  <c:v>ALL OTHER UK CROPS</c:v>
                </c:pt>
                <c:pt idx="15">
                  <c:v>OTHER PLANTATION CROPS</c:v>
                </c:pt>
                <c:pt idx="19">
                  <c:v>WINE</c:v>
                </c:pt>
                <c:pt idx="20">
                  <c:v>ALL OTHER IMPORTED CROP FOODS</c:v>
                </c:pt>
              </c:strCache>
            </c:strRef>
          </c:cat>
          <c:val>
            <c:numRef>
              <c:f>'TABLES AND GRAPHS'!$D$20:$D$48</c:f>
              <c:numCache>
                <c:formatCode>General</c:formatCode>
                <c:ptCount val="29"/>
                <c:pt idx="2">
                  <c:v>380</c:v>
                </c:pt>
                <c:pt idx="3">
                  <c:v>370</c:v>
                </c:pt>
                <c:pt idx="12">
                  <c:v>700</c:v>
                </c:pt>
                <c:pt idx="15">
                  <c:v>870</c:v>
                </c:pt>
                <c:pt idx="19">
                  <c:v>5000</c:v>
                </c:pt>
                <c:pt idx="20">
                  <c:v>800</c:v>
                </c:pt>
              </c:numCache>
            </c:numRef>
          </c:val>
          <c:extLst>
            <c:ext xmlns:c16="http://schemas.microsoft.com/office/drawing/2014/chart" uri="{C3380CC4-5D6E-409C-BE32-E72D297353CC}">
              <c16:uniqueId val="{00000001-99C2-4895-95CD-114F72CBF992}"/>
            </c:ext>
          </c:extLst>
        </c:ser>
        <c:dLbls>
          <c:showLegendKey val="0"/>
          <c:showVal val="0"/>
          <c:showCatName val="0"/>
          <c:showSerName val="0"/>
          <c:showPercent val="0"/>
          <c:showBubbleSize val="0"/>
        </c:dLbls>
        <c:gapWidth val="150"/>
        <c:axId val="300572600"/>
        <c:axId val="1"/>
      </c:barChart>
      <c:catAx>
        <c:axId val="300572600"/>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00572600"/>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100" b="1" i="0" u="none" strike="noStrike" baseline="0">
                <a:solidFill>
                  <a:srgbClr val="000000"/>
                </a:solidFill>
                <a:latin typeface="Calibri"/>
              </a:rPr>
              <a:t>GHG intensity</a:t>
            </a:r>
          </a:p>
          <a:p>
            <a:pPr>
              <a:defRPr sz="1000" b="0" i="0" u="none" strike="noStrike" baseline="0">
                <a:solidFill>
                  <a:srgbClr val="000000"/>
                </a:solidFill>
                <a:latin typeface="Calibri"/>
                <a:ea typeface="Calibri"/>
                <a:cs typeface="Calibri"/>
              </a:defRPr>
            </a:pPr>
            <a:r>
              <a:rPr lang="en-GB" sz="1100" b="1" i="0" u="none" strike="noStrike" baseline="0">
                <a:solidFill>
                  <a:srgbClr val="000000"/>
                </a:solidFill>
                <a:latin typeface="Calibri"/>
              </a:rPr>
              <a:t>and annual production.</a:t>
            </a:r>
          </a:p>
          <a:p>
            <a:pPr>
              <a:defRPr sz="1000" b="0" i="0" u="none" strike="noStrike" baseline="0">
                <a:solidFill>
                  <a:srgbClr val="000000"/>
                </a:solidFill>
                <a:latin typeface="Calibri"/>
                <a:ea typeface="Calibri"/>
                <a:cs typeface="Calibri"/>
              </a:defRPr>
            </a:pPr>
            <a:r>
              <a:rPr lang="en-GB" sz="1000" b="1" i="0" u="none" strike="noStrike" baseline="0">
                <a:solidFill>
                  <a:srgbClr val="000000"/>
                </a:solidFill>
                <a:latin typeface="Calibri"/>
              </a:rPr>
              <a:t>Crop products grouped at top </a:t>
            </a:r>
          </a:p>
          <a:p>
            <a:pPr>
              <a:defRPr sz="1000" b="0" i="0" u="none" strike="noStrike" baseline="0">
                <a:solidFill>
                  <a:srgbClr val="000000"/>
                </a:solidFill>
                <a:latin typeface="Calibri"/>
                <a:ea typeface="Calibri"/>
                <a:cs typeface="Calibri"/>
              </a:defRPr>
            </a:pPr>
            <a:r>
              <a:rPr lang="en-GB" sz="1000" b="1" i="0" u="none" strike="noStrike" baseline="0">
                <a:solidFill>
                  <a:srgbClr val="000000"/>
                </a:solidFill>
                <a:latin typeface="Calibri"/>
              </a:rPr>
              <a:t>Livestock products grouped at bottom</a:t>
            </a:r>
          </a:p>
        </c:rich>
      </c:tx>
      <c:layout>
        <c:manualLayout>
          <c:xMode val="edge"/>
          <c:yMode val="edge"/>
          <c:x val="0.53928691087527103"/>
          <c:y val="0.2654028373035649"/>
        </c:manualLayout>
      </c:layout>
      <c:overlay val="1"/>
    </c:title>
    <c:autoTitleDeleted val="0"/>
    <c:plotArea>
      <c:layout/>
      <c:barChart>
        <c:barDir val="bar"/>
        <c:grouping val="clustered"/>
        <c:varyColors val="0"/>
        <c:ser>
          <c:idx val="0"/>
          <c:order val="0"/>
          <c:tx>
            <c:strRef>
              <c:f>'TABLES AND GRAPHS'!$I$22</c:f>
              <c:strCache>
                <c:ptCount val="1"/>
                <c:pt idx="0">
                  <c:v>PRODUCTION, kt/y</c:v>
                </c:pt>
              </c:strCache>
            </c:strRef>
          </c:tx>
          <c:spPr>
            <a:solidFill>
              <a:srgbClr val="00CC00"/>
            </a:solidFill>
          </c:spPr>
          <c:invertIfNegative val="0"/>
          <c:cat>
            <c:strRef>
              <c:f>'TABLES AND GRAPHS'!$H$23:$H$48</c:f>
              <c:strCache>
                <c:ptCount val="26"/>
                <c:pt idx="0">
                  <c:v>SHEEP MEAT </c:v>
                </c:pt>
                <c:pt idx="1">
                  <c:v>BEEF</c:v>
                </c:pt>
                <c:pt idx="2">
                  <c:v> MILK &amp; PRODUCTS</c:v>
                </c:pt>
                <c:pt idx="3">
                  <c:v>EGGS</c:v>
                </c:pt>
                <c:pt idx="4">
                  <c:v>PIG MEAT</c:v>
                </c:pt>
                <c:pt idx="5">
                  <c:v>POULTRY</c:v>
                </c:pt>
                <c:pt idx="6">
                  <c:v>FARMED FISH</c:v>
                </c:pt>
                <c:pt idx="7">
                  <c:v>WILD FISH</c:v>
                </c:pt>
                <c:pt idx="11">
                  <c:v>LEGUMES</c:v>
                </c:pt>
                <c:pt idx="12">
                  <c:v>NUTS</c:v>
                </c:pt>
                <c:pt idx="13">
                  <c:v>MAIZE</c:v>
                </c:pt>
                <c:pt idx="14">
                  <c:v>PADDY RICE</c:v>
                </c:pt>
                <c:pt idx="15">
                  <c:v>OTHER CEREALS</c:v>
                </c:pt>
                <c:pt idx="16">
                  <c:v>IMPORTED  OILSEEDS</c:v>
                </c:pt>
                <c:pt idx="17">
                  <c:v>BARLEY</c:v>
                </c:pt>
                <c:pt idx="18">
                  <c:v>OILSEEDS</c:v>
                </c:pt>
                <c:pt idx="19">
                  <c:v>PROTECTED CROPS</c:v>
                </c:pt>
                <c:pt idx="20">
                  <c:v>FIELD VEG</c:v>
                </c:pt>
                <c:pt idx="21">
                  <c:v>SUGAR BEET</c:v>
                </c:pt>
                <c:pt idx="22">
                  <c:v>POTATOES</c:v>
                </c:pt>
                <c:pt idx="23">
                  <c:v>WHEAT</c:v>
                </c:pt>
                <c:pt idx="24">
                  <c:v>CANE SUGAR</c:v>
                </c:pt>
                <c:pt idx="25">
                  <c:v>FRUIT</c:v>
                </c:pt>
              </c:strCache>
            </c:strRef>
          </c:cat>
          <c:val>
            <c:numRef>
              <c:f>'TABLES AND GRAPHS'!$I$23:$I$48</c:f>
              <c:numCache>
                <c:formatCode>0</c:formatCode>
                <c:ptCount val="26"/>
                <c:pt idx="0">
                  <c:v>341</c:v>
                </c:pt>
                <c:pt idx="1">
                  <c:v>1142</c:v>
                </c:pt>
                <c:pt idx="2">
                  <c:v>14177</c:v>
                </c:pt>
                <c:pt idx="3">
                  <c:v>718.4</c:v>
                </c:pt>
                <c:pt idx="4">
                  <c:v>1559</c:v>
                </c:pt>
                <c:pt idx="5">
                  <c:v>1693</c:v>
                </c:pt>
                <c:pt idx="6">
                  <c:v>171</c:v>
                </c:pt>
                <c:pt idx="7">
                  <c:v>522</c:v>
                </c:pt>
                <c:pt idx="11">
                  <c:v>281</c:v>
                </c:pt>
                <c:pt idx="12">
                  <c:v>614</c:v>
                </c:pt>
                <c:pt idx="13">
                  <c:v>668</c:v>
                </c:pt>
                <c:pt idx="14">
                  <c:v>700</c:v>
                </c:pt>
                <c:pt idx="15">
                  <c:v>718</c:v>
                </c:pt>
                <c:pt idx="16">
                  <c:v>805</c:v>
                </c:pt>
                <c:pt idx="17">
                  <c:v>1769</c:v>
                </c:pt>
                <c:pt idx="18">
                  <c:v>1958</c:v>
                </c:pt>
                <c:pt idx="19">
                  <c:v>2227</c:v>
                </c:pt>
                <c:pt idx="20">
                  <c:v>4406.7796610169498</c:v>
                </c:pt>
                <c:pt idx="21">
                  <c:v>5907.8618181818183</c:v>
                </c:pt>
                <c:pt idx="22">
                  <c:v>6722.5476190476193</c:v>
                </c:pt>
                <c:pt idx="23">
                  <c:v>7628.5</c:v>
                </c:pt>
                <c:pt idx="24">
                  <c:v>7678.8</c:v>
                </c:pt>
                <c:pt idx="25">
                  <c:v>8915</c:v>
                </c:pt>
              </c:numCache>
            </c:numRef>
          </c:val>
          <c:extLst>
            <c:ext xmlns:c16="http://schemas.microsoft.com/office/drawing/2014/chart" uri="{C3380CC4-5D6E-409C-BE32-E72D297353CC}">
              <c16:uniqueId val="{00000000-1B1E-4DA6-927F-42C66666D06B}"/>
            </c:ext>
          </c:extLst>
        </c:ser>
        <c:ser>
          <c:idx val="1"/>
          <c:order val="1"/>
          <c:tx>
            <c:strRef>
              <c:f>'TABLES AND GRAPHS'!$J$22</c:f>
              <c:strCache>
                <c:ptCount val="1"/>
                <c:pt idx="0">
                  <c:v>GHGE INTENSITY, tCO2e/t product x 1000</c:v>
                </c:pt>
              </c:strCache>
            </c:strRef>
          </c:tx>
          <c:spPr>
            <a:solidFill>
              <a:schemeClr val="tx1"/>
            </a:solidFill>
          </c:spPr>
          <c:invertIfNegative val="0"/>
          <c:cat>
            <c:strRef>
              <c:f>'TABLES AND GRAPHS'!$H$23:$H$48</c:f>
              <c:strCache>
                <c:ptCount val="26"/>
                <c:pt idx="0">
                  <c:v>SHEEP MEAT </c:v>
                </c:pt>
                <c:pt idx="1">
                  <c:v>BEEF</c:v>
                </c:pt>
                <c:pt idx="2">
                  <c:v> MILK &amp; PRODUCTS</c:v>
                </c:pt>
                <c:pt idx="3">
                  <c:v>EGGS</c:v>
                </c:pt>
                <c:pt idx="4">
                  <c:v>PIG MEAT</c:v>
                </c:pt>
                <c:pt idx="5">
                  <c:v>POULTRY</c:v>
                </c:pt>
                <c:pt idx="6">
                  <c:v>FARMED FISH</c:v>
                </c:pt>
                <c:pt idx="7">
                  <c:v>WILD FISH</c:v>
                </c:pt>
                <c:pt idx="11">
                  <c:v>LEGUMES</c:v>
                </c:pt>
                <c:pt idx="12">
                  <c:v>NUTS</c:v>
                </c:pt>
                <c:pt idx="13">
                  <c:v>MAIZE</c:v>
                </c:pt>
                <c:pt idx="14">
                  <c:v>PADDY RICE</c:v>
                </c:pt>
                <c:pt idx="15">
                  <c:v>OTHER CEREALS</c:v>
                </c:pt>
                <c:pt idx="16">
                  <c:v>IMPORTED  OILSEEDS</c:v>
                </c:pt>
                <c:pt idx="17">
                  <c:v>BARLEY</c:v>
                </c:pt>
                <c:pt idx="18">
                  <c:v>OILSEEDS</c:v>
                </c:pt>
                <c:pt idx="19">
                  <c:v>PROTECTED CROPS</c:v>
                </c:pt>
                <c:pt idx="20">
                  <c:v>FIELD VEG</c:v>
                </c:pt>
                <c:pt idx="21">
                  <c:v>SUGAR BEET</c:v>
                </c:pt>
                <c:pt idx="22">
                  <c:v>POTATOES</c:v>
                </c:pt>
                <c:pt idx="23">
                  <c:v>WHEAT</c:v>
                </c:pt>
                <c:pt idx="24">
                  <c:v>CANE SUGAR</c:v>
                </c:pt>
                <c:pt idx="25">
                  <c:v>FRUIT</c:v>
                </c:pt>
              </c:strCache>
            </c:strRef>
          </c:cat>
          <c:val>
            <c:numRef>
              <c:f>'TABLES AND GRAPHS'!$L$23:$L$48</c:f>
              <c:numCache>
                <c:formatCode>General</c:formatCode>
                <c:ptCount val="26"/>
                <c:pt idx="0">
                  <c:v>17000</c:v>
                </c:pt>
                <c:pt idx="1">
                  <c:v>16000</c:v>
                </c:pt>
                <c:pt idx="2">
                  <c:v>10370</c:v>
                </c:pt>
                <c:pt idx="3">
                  <c:v>5200</c:v>
                </c:pt>
                <c:pt idx="4">
                  <c:v>4500</c:v>
                </c:pt>
                <c:pt idx="5">
                  <c:v>4200</c:v>
                </c:pt>
                <c:pt idx="6">
                  <c:v>4000</c:v>
                </c:pt>
                <c:pt idx="7">
                  <c:v>4000</c:v>
                </c:pt>
                <c:pt idx="11">
                  <c:v>510</c:v>
                </c:pt>
                <c:pt idx="12">
                  <c:v>880</c:v>
                </c:pt>
                <c:pt idx="13">
                  <c:v>450</c:v>
                </c:pt>
                <c:pt idx="14">
                  <c:v>3500</c:v>
                </c:pt>
                <c:pt idx="15">
                  <c:v>380</c:v>
                </c:pt>
                <c:pt idx="16">
                  <c:v>800</c:v>
                </c:pt>
                <c:pt idx="17">
                  <c:v>400</c:v>
                </c:pt>
                <c:pt idx="18">
                  <c:v>1050</c:v>
                </c:pt>
                <c:pt idx="19">
                  <c:v>3500</c:v>
                </c:pt>
                <c:pt idx="20">
                  <c:v>500</c:v>
                </c:pt>
                <c:pt idx="21">
                  <c:v>100</c:v>
                </c:pt>
                <c:pt idx="22">
                  <c:v>230</c:v>
                </c:pt>
                <c:pt idx="23">
                  <c:v>516</c:v>
                </c:pt>
                <c:pt idx="24">
                  <c:v>90</c:v>
                </c:pt>
                <c:pt idx="25">
                  <c:v>500</c:v>
                </c:pt>
              </c:numCache>
            </c:numRef>
          </c:val>
          <c:extLst>
            <c:ext xmlns:c16="http://schemas.microsoft.com/office/drawing/2014/chart" uri="{C3380CC4-5D6E-409C-BE32-E72D297353CC}">
              <c16:uniqueId val="{00000001-1B1E-4DA6-927F-42C66666D06B}"/>
            </c:ext>
          </c:extLst>
        </c:ser>
        <c:dLbls>
          <c:showLegendKey val="0"/>
          <c:showVal val="0"/>
          <c:showCatName val="0"/>
          <c:showSerName val="0"/>
          <c:showPercent val="0"/>
          <c:showBubbleSize val="0"/>
        </c:dLbls>
        <c:gapWidth val="150"/>
        <c:axId val="300698168"/>
        <c:axId val="1"/>
      </c:barChart>
      <c:catAx>
        <c:axId val="300698168"/>
        <c:scaling>
          <c:orientation val="minMax"/>
        </c:scaling>
        <c:delete val="0"/>
        <c:axPos val="l"/>
        <c:numFmt formatCode="General" sourceLinked="1"/>
        <c:majorTickMark val="out"/>
        <c:minorTickMark val="none"/>
        <c:tickLblPos val="nextTo"/>
        <c:txPr>
          <a:bodyPr rot="0" vert="horz"/>
          <a:lstStyle/>
          <a:p>
            <a:pPr>
              <a:defRPr sz="6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00698168"/>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GB"/>
              <a:t>ALLOCATION OF 8Mha FOR SCENARIO FOOD PRODUCTION</a:t>
            </a:r>
          </a:p>
        </c:rich>
      </c:tx>
      <c:overlay val="1"/>
    </c:title>
    <c:autoTitleDeleted val="0"/>
    <c:plotArea>
      <c:layout/>
      <c:pieChart>
        <c:varyColors val="1"/>
        <c:ser>
          <c:idx val="0"/>
          <c:order val="0"/>
          <c:dPt>
            <c:idx val="0"/>
            <c:bubble3D val="0"/>
            <c:extLst>
              <c:ext xmlns:c16="http://schemas.microsoft.com/office/drawing/2014/chart" uri="{C3380CC4-5D6E-409C-BE32-E72D297353CC}">
                <c16:uniqueId val="{00000000-1733-4255-9E4D-2293E24889F0}"/>
              </c:ext>
            </c:extLst>
          </c:dPt>
          <c:dPt>
            <c:idx val="1"/>
            <c:bubble3D val="0"/>
            <c:extLst>
              <c:ext xmlns:c16="http://schemas.microsoft.com/office/drawing/2014/chart" uri="{C3380CC4-5D6E-409C-BE32-E72D297353CC}">
                <c16:uniqueId val="{00000001-1733-4255-9E4D-2293E24889F0}"/>
              </c:ext>
            </c:extLst>
          </c:dPt>
          <c:dPt>
            <c:idx val="2"/>
            <c:bubble3D val="0"/>
            <c:extLst>
              <c:ext xmlns:c16="http://schemas.microsoft.com/office/drawing/2014/chart" uri="{C3380CC4-5D6E-409C-BE32-E72D297353CC}">
                <c16:uniqueId val="{00000002-1733-4255-9E4D-2293E24889F0}"/>
              </c:ext>
            </c:extLst>
          </c:dPt>
          <c:dPt>
            <c:idx val="3"/>
            <c:bubble3D val="0"/>
            <c:extLst>
              <c:ext xmlns:c16="http://schemas.microsoft.com/office/drawing/2014/chart" uri="{C3380CC4-5D6E-409C-BE32-E72D297353CC}">
                <c16:uniqueId val="{00000003-1733-4255-9E4D-2293E24889F0}"/>
              </c:ext>
            </c:extLst>
          </c:dPt>
          <c:dPt>
            <c:idx val="4"/>
            <c:bubble3D val="0"/>
            <c:extLst>
              <c:ext xmlns:c16="http://schemas.microsoft.com/office/drawing/2014/chart" uri="{C3380CC4-5D6E-409C-BE32-E72D297353CC}">
                <c16:uniqueId val="{00000004-1733-4255-9E4D-2293E24889F0}"/>
              </c:ext>
            </c:extLst>
          </c:dPt>
          <c:dPt>
            <c:idx val="5"/>
            <c:bubble3D val="0"/>
            <c:extLst>
              <c:ext xmlns:c16="http://schemas.microsoft.com/office/drawing/2014/chart" uri="{C3380CC4-5D6E-409C-BE32-E72D297353CC}">
                <c16:uniqueId val="{00000005-1733-4255-9E4D-2293E24889F0}"/>
              </c:ext>
            </c:extLst>
          </c:dPt>
          <c:dPt>
            <c:idx val="6"/>
            <c:bubble3D val="0"/>
            <c:extLst>
              <c:ext xmlns:c16="http://schemas.microsoft.com/office/drawing/2014/chart" uri="{C3380CC4-5D6E-409C-BE32-E72D297353CC}">
                <c16:uniqueId val="{00000006-1733-4255-9E4D-2293E24889F0}"/>
              </c:ext>
            </c:extLst>
          </c:dPt>
          <c:dLbls>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0"/>
            <c:showCatName val="1"/>
            <c:showSerName val="0"/>
            <c:showPercent val="0"/>
            <c:showBubbleSize val="0"/>
            <c:showLeaderLines val="1"/>
            <c:extLst>
              <c:ext xmlns:c15="http://schemas.microsoft.com/office/drawing/2012/chart" uri="{CE6537A1-D6FC-4f65-9D91-7224C49458BB}"/>
            </c:extLst>
          </c:dLbls>
          <c:cat>
            <c:strRef>
              <c:f>'TABLES AND GRAPHS'!$M$44:$M$50</c:f>
              <c:strCache>
                <c:ptCount val="7"/>
                <c:pt idx="0">
                  <c:v>CEREALS</c:v>
                </c:pt>
                <c:pt idx="1">
                  <c:v>VEG AND POTATOES</c:v>
                </c:pt>
                <c:pt idx="2">
                  <c:v>FRUIT</c:v>
                </c:pt>
                <c:pt idx="3">
                  <c:v>LEGUMES</c:v>
                </c:pt>
                <c:pt idx="4">
                  <c:v>OILSEEDS</c:v>
                </c:pt>
                <c:pt idx="5">
                  <c:v>LIVESTOCK FEED</c:v>
                </c:pt>
                <c:pt idx="6">
                  <c:v>GRAZING</c:v>
                </c:pt>
              </c:strCache>
            </c:strRef>
          </c:cat>
          <c:val>
            <c:numRef>
              <c:f>'TABLES AND GRAPHS'!$N$44:$N$50</c:f>
              <c:numCache>
                <c:formatCode>General</c:formatCode>
                <c:ptCount val="7"/>
                <c:pt idx="0">
                  <c:v>1575</c:v>
                </c:pt>
                <c:pt idx="1">
                  <c:v>1888</c:v>
                </c:pt>
                <c:pt idx="2">
                  <c:v>536</c:v>
                </c:pt>
                <c:pt idx="3">
                  <c:v>156</c:v>
                </c:pt>
                <c:pt idx="4">
                  <c:v>218</c:v>
                </c:pt>
                <c:pt idx="5">
                  <c:v>1211</c:v>
                </c:pt>
                <c:pt idx="6">
                  <c:v>2839</c:v>
                </c:pt>
              </c:numCache>
            </c:numRef>
          </c:val>
          <c:extLst>
            <c:ext xmlns:c16="http://schemas.microsoft.com/office/drawing/2014/chart" uri="{C3380CC4-5D6E-409C-BE32-E72D297353CC}">
              <c16:uniqueId val="{00000007-1733-4255-9E4D-2293E24889F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GB"/>
              <a:t>Comparison of emissions and production of main food commodities</a:t>
            </a:r>
          </a:p>
        </c:rich>
      </c:tx>
      <c:overlay val="0"/>
    </c:title>
    <c:autoTitleDeleted val="0"/>
    <c:plotArea>
      <c:layout/>
      <c:barChart>
        <c:barDir val="bar"/>
        <c:grouping val="clustered"/>
        <c:varyColors val="0"/>
        <c:ser>
          <c:idx val="0"/>
          <c:order val="0"/>
          <c:tx>
            <c:strRef>
              <c:f>'TABLES AND GRAPHS'!$G$60</c:f>
              <c:strCache>
                <c:ptCount val="1"/>
                <c:pt idx="0">
                  <c:v>TOTAL GHGE</c:v>
                </c:pt>
              </c:strCache>
            </c:strRef>
          </c:tx>
          <c:spPr>
            <a:solidFill>
              <a:schemeClr val="tx1"/>
            </a:solidFill>
            <a:ln>
              <a:solidFill>
                <a:schemeClr val="tx1">
                  <a:lumMod val="95000"/>
                  <a:lumOff val="5000"/>
                </a:schemeClr>
              </a:solidFill>
            </a:ln>
          </c:spPr>
          <c:invertIfNegative val="0"/>
          <c:cat>
            <c:strRef>
              <c:f>'TABLES AND GRAPHS'!$F$61:$F$85</c:f>
              <c:strCache>
                <c:ptCount val="25"/>
                <c:pt idx="0">
                  <c:v>FRUIT</c:v>
                </c:pt>
                <c:pt idx="1">
                  <c:v>CANE SUGAR</c:v>
                </c:pt>
                <c:pt idx="2">
                  <c:v>WHEAT</c:v>
                </c:pt>
                <c:pt idx="3">
                  <c:v>POTATOES</c:v>
                </c:pt>
                <c:pt idx="4">
                  <c:v>SUGAR BEET</c:v>
                </c:pt>
                <c:pt idx="5">
                  <c:v>FIELD VEG</c:v>
                </c:pt>
                <c:pt idx="6">
                  <c:v>PROTECTED</c:v>
                </c:pt>
                <c:pt idx="7">
                  <c:v>RAPESEED</c:v>
                </c:pt>
                <c:pt idx="8">
                  <c:v>BARLEY</c:v>
                </c:pt>
                <c:pt idx="9">
                  <c:v>IMPORTED  OILSEEDS</c:v>
                </c:pt>
                <c:pt idx="10">
                  <c:v>MAIZE</c:v>
                </c:pt>
                <c:pt idx="11">
                  <c:v>PADDY RICE</c:v>
                </c:pt>
                <c:pt idx="12">
                  <c:v>NUTS</c:v>
                </c:pt>
                <c:pt idx="13">
                  <c:v>OATS</c:v>
                </c:pt>
                <c:pt idx="14">
                  <c:v>PLANTATION CROPS</c:v>
                </c:pt>
                <c:pt idx="15">
                  <c:v>LEGUME CROPS</c:v>
                </c:pt>
                <c:pt idx="17">
                  <c:v>FARMED FISH</c:v>
                </c:pt>
                <c:pt idx="18">
                  <c:v>WILD FISH</c:v>
                </c:pt>
                <c:pt idx="19">
                  <c:v>EGGS</c:v>
                </c:pt>
                <c:pt idx="20">
                  <c:v>POULTRY</c:v>
                </c:pt>
                <c:pt idx="21">
                  <c:v>SHEEP MEAT</c:v>
                </c:pt>
                <c:pt idx="22">
                  <c:v>PIG MEAT</c:v>
                </c:pt>
                <c:pt idx="23">
                  <c:v>BEEF</c:v>
                </c:pt>
                <c:pt idx="24">
                  <c:v> MILK &amp; PRODUCTS</c:v>
                </c:pt>
              </c:strCache>
            </c:strRef>
          </c:cat>
          <c:val>
            <c:numRef>
              <c:f>'TABLES AND GRAPHS'!$G$61:$G$85</c:f>
              <c:numCache>
                <c:formatCode>0</c:formatCode>
                <c:ptCount val="25"/>
                <c:pt idx="0">
                  <c:v>8707.5</c:v>
                </c:pt>
                <c:pt idx="1">
                  <c:v>767.88</c:v>
                </c:pt>
                <c:pt idx="2">
                  <c:v>4261.0259999999998</c:v>
                </c:pt>
                <c:pt idx="3">
                  <c:v>1991.5928571428572</c:v>
                </c:pt>
                <c:pt idx="4">
                  <c:v>549.36800000000005</c:v>
                </c:pt>
                <c:pt idx="5">
                  <c:v>4913.5593220338997</c:v>
                </c:pt>
                <c:pt idx="6">
                  <c:v>3400.83</c:v>
                </c:pt>
                <c:pt idx="7">
                  <c:v>2055.9</c:v>
                </c:pt>
                <c:pt idx="8">
                  <c:v>707.6</c:v>
                </c:pt>
                <c:pt idx="9">
                  <c:v>1288</c:v>
                </c:pt>
                <c:pt idx="10">
                  <c:v>601.20000000000005</c:v>
                </c:pt>
                <c:pt idx="11">
                  <c:v>2243.5</c:v>
                </c:pt>
                <c:pt idx="12">
                  <c:v>540.32000000000005</c:v>
                </c:pt>
                <c:pt idx="13">
                  <c:v>158.84</c:v>
                </c:pt>
                <c:pt idx="14">
                  <c:v>348</c:v>
                </c:pt>
                <c:pt idx="15">
                  <c:v>145.554</c:v>
                </c:pt>
                <c:pt idx="17">
                  <c:v>684</c:v>
                </c:pt>
                <c:pt idx="18">
                  <c:v>2088</c:v>
                </c:pt>
                <c:pt idx="19">
                  <c:v>2156.92</c:v>
                </c:pt>
                <c:pt idx="20">
                  <c:v>4850.87</c:v>
                </c:pt>
                <c:pt idx="21">
                  <c:v>5074.5999999999995</c:v>
                </c:pt>
                <c:pt idx="22">
                  <c:v>7066.3600000000006</c:v>
                </c:pt>
                <c:pt idx="23">
                  <c:v>14681.8</c:v>
                </c:pt>
                <c:pt idx="24">
                  <c:v>20038.46</c:v>
                </c:pt>
              </c:numCache>
            </c:numRef>
          </c:val>
          <c:extLst>
            <c:ext xmlns:c16="http://schemas.microsoft.com/office/drawing/2014/chart" uri="{C3380CC4-5D6E-409C-BE32-E72D297353CC}">
              <c16:uniqueId val="{00000000-6FC7-499B-B7F6-FEC8118F7BF4}"/>
            </c:ext>
          </c:extLst>
        </c:ser>
        <c:ser>
          <c:idx val="1"/>
          <c:order val="1"/>
          <c:tx>
            <c:strRef>
              <c:f>'TABLES AND GRAPHS'!$H$60</c:f>
              <c:strCache>
                <c:ptCount val="1"/>
                <c:pt idx="0">
                  <c:v>PRODUCTION, FRESH WT., ktx2</c:v>
                </c:pt>
              </c:strCache>
            </c:strRef>
          </c:tx>
          <c:spPr>
            <a:solidFill>
              <a:srgbClr val="00CC00"/>
            </a:solidFill>
            <a:ln>
              <a:solidFill>
                <a:schemeClr val="tx1"/>
              </a:solidFill>
            </a:ln>
          </c:spPr>
          <c:invertIfNegative val="0"/>
          <c:cat>
            <c:strRef>
              <c:f>'TABLES AND GRAPHS'!$F$61:$F$85</c:f>
              <c:strCache>
                <c:ptCount val="25"/>
                <c:pt idx="0">
                  <c:v>FRUIT</c:v>
                </c:pt>
                <c:pt idx="1">
                  <c:v>CANE SUGAR</c:v>
                </c:pt>
                <c:pt idx="2">
                  <c:v>WHEAT</c:v>
                </c:pt>
                <c:pt idx="3">
                  <c:v>POTATOES</c:v>
                </c:pt>
                <c:pt idx="4">
                  <c:v>SUGAR BEET</c:v>
                </c:pt>
                <c:pt idx="5">
                  <c:v>FIELD VEG</c:v>
                </c:pt>
                <c:pt idx="6">
                  <c:v>PROTECTED</c:v>
                </c:pt>
                <c:pt idx="7">
                  <c:v>RAPESEED</c:v>
                </c:pt>
                <c:pt idx="8">
                  <c:v>BARLEY</c:v>
                </c:pt>
                <c:pt idx="9">
                  <c:v>IMPORTED  OILSEEDS</c:v>
                </c:pt>
                <c:pt idx="10">
                  <c:v>MAIZE</c:v>
                </c:pt>
                <c:pt idx="11">
                  <c:v>PADDY RICE</c:v>
                </c:pt>
                <c:pt idx="12">
                  <c:v>NUTS</c:v>
                </c:pt>
                <c:pt idx="13">
                  <c:v>OATS</c:v>
                </c:pt>
                <c:pt idx="14">
                  <c:v>PLANTATION CROPS</c:v>
                </c:pt>
                <c:pt idx="15">
                  <c:v>LEGUME CROPS</c:v>
                </c:pt>
                <c:pt idx="17">
                  <c:v>FARMED FISH</c:v>
                </c:pt>
                <c:pt idx="18">
                  <c:v>WILD FISH</c:v>
                </c:pt>
                <c:pt idx="19">
                  <c:v>EGGS</c:v>
                </c:pt>
                <c:pt idx="20">
                  <c:v>POULTRY</c:v>
                </c:pt>
                <c:pt idx="21">
                  <c:v>SHEEP MEAT</c:v>
                </c:pt>
                <c:pt idx="22">
                  <c:v>PIG MEAT</c:v>
                </c:pt>
                <c:pt idx="23">
                  <c:v>BEEF</c:v>
                </c:pt>
                <c:pt idx="24">
                  <c:v> MILK &amp; PRODUCTS</c:v>
                </c:pt>
              </c:strCache>
            </c:strRef>
          </c:cat>
          <c:val>
            <c:numRef>
              <c:f>'TABLES AND GRAPHS'!$H$61:$H$85</c:f>
              <c:numCache>
                <c:formatCode>0</c:formatCode>
                <c:ptCount val="25"/>
                <c:pt idx="0">
                  <c:v>17830</c:v>
                </c:pt>
                <c:pt idx="1">
                  <c:v>15357.6</c:v>
                </c:pt>
                <c:pt idx="2">
                  <c:v>15257</c:v>
                </c:pt>
                <c:pt idx="3">
                  <c:v>13445.095238095239</c:v>
                </c:pt>
                <c:pt idx="4">
                  <c:v>11815.723636363637</c:v>
                </c:pt>
                <c:pt idx="5">
                  <c:v>8813.5593220338997</c:v>
                </c:pt>
                <c:pt idx="6">
                  <c:v>4554</c:v>
                </c:pt>
                <c:pt idx="7">
                  <c:v>3916</c:v>
                </c:pt>
                <c:pt idx="8">
                  <c:v>3538</c:v>
                </c:pt>
                <c:pt idx="9">
                  <c:v>1610</c:v>
                </c:pt>
                <c:pt idx="10">
                  <c:v>1336</c:v>
                </c:pt>
                <c:pt idx="11">
                  <c:v>1282</c:v>
                </c:pt>
                <c:pt idx="12">
                  <c:v>1228</c:v>
                </c:pt>
                <c:pt idx="13">
                  <c:v>836</c:v>
                </c:pt>
                <c:pt idx="14">
                  <c:v>800</c:v>
                </c:pt>
                <c:pt idx="15">
                  <c:v>570.79999999999995</c:v>
                </c:pt>
                <c:pt idx="16">
                  <c:v>0</c:v>
                </c:pt>
                <c:pt idx="17">
                  <c:v>342</c:v>
                </c:pt>
                <c:pt idx="18">
                  <c:v>1044</c:v>
                </c:pt>
                <c:pt idx="19">
                  <c:v>1436.8</c:v>
                </c:pt>
                <c:pt idx="20">
                  <c:v>3386</c:v>
                </c:pt>
                <c:pt idx="21">
                  <c:v>682</c:v>
                </c:pt>
                <c:pt idx="22">
                  <c:v>3118</c:v>
                </c:pt>
                <c:pt idx="23">
                  <c:v>2284</c:v>
                </c:pt>
                <c:pt idx="24">
                  <c:v>3686</c:v>
                </c:pt>
              </c:numCache>
            </c:numRef>
          </c:val>
          <c:extLst>
            <c:ext xmlns:c16="http://schemas.microsoft.com/office/drawing/2014/chart" uri="{C3380CC4-5D6E-409C-BE32-E72D297353CC}">
              <c16:uniqueId val="{00000001-6FC7-499B-B7F6-FEC8118F7BF4}"/>
            </c:ext>
          </c:extLst>
        </c:ser>
        <c:dLbls>
          <c:showLegendKey val="0"/>
          <c:showVal val="0"/>
          <c:showCatName val="0"/>
          <c:showSerName val="0"/>
          <c:showPercent val="0"/>
          <c:showBubbleSize val="0"/>
        </c:dLbls>
        <c:gapWidth val="75"/>
        <c:axId val="300697184"/>
        <c:axId val="1"/>
      </c:barChart>
      <c:catAx>
        <c:axId val="300697184"/>
        <c:scaling>
          <c:orientation val="minMax"/>
        </c:scaling>
        <c:delete val="0"/>
        <c:axPos val="l"/>
        <c:numFmt formatCode="General" sourceLinked="1"/>
        <c:majorTickMark val="none"/>
        <c:minorTickMark val="none"/>
        <c:tickLblPos val="nextTo"/>
        <c:txPr>
          <a:bodyPr rot="0" vert="horz"/>
          <a:lstStyle/>
          <a:p>
            <a:pPr>
              <a:defRPr sz="6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20000"/>
        </c:scaling>
        <c:delete val="0"/>
        <c:axPos val="b"/>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300697184"/>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100" b="1" i="0" u="none" strike="noStrike" baseline="0">
                <a:solidFill>
                  <a:srgbClr val="000000"/>
                </a:solidFill>
                <a:latin typeface="Calibri"/>
              </a:rPr>
              <a:t>Comparison of GHGE and </a:t>
            </a:r>
          </a:p>
          <a:p>
            <a:pPr>
              <a:defRPr sz="1000" b="0" i="0" u="none" strike="noStrike" baseline="0">
                <a:solidFill>
                  <a:srgbClr val="000000"/>
                </a:solidFill>
                <a:latin typeface="Calibri"/>
                <a:ea typeface="Calibri"/>
                <a:cs typeface="Calibri"/>
              </a:defRPr>
            </a:pPr>
            <a:r>
              <a:rPr lang="en-GB" sz="1100" b="1" i="0" u="none" strike="noStrike" baseline="0">
                <a:solidFill>
                  <a:srgbClr val="000000"/>
                </a:solidFill>
                <a:latin typeface="Calibri"/>
              </a:rPr>
              <a:t>Production of Nutritional Value </a:t>
            </a:r>
          </a:p>
          <a:p>
            <a:pPr>
              <a:defRPr sz="1000" b="0" i="0" u="none" strike="noStrike" baseline="0">
                <a:solidFill>
                  <a:srgbClr val="000000"/>
                </a:solidFill>
                <a:latin typeface="Calibri"/>
                <a:ea typeface="Calibri"/>
                <a:cs typeface="Calibri"/>
              </a:defRPr>
            </a:pPr>
            <a:r>
              <a:rPr lang="en-GB" sz="1100" b="1" i="0" u="none" strike="noStrike" baseline="0">
                <a:solidFill>
                  <a:srgbClr val="000000"/>
                </a:solidFill>
                <a:latin typeface="Calibri"/>
              </a:rPr>
              <a:t>for Principal Food Commodities</a:t>
            </a:r>
          </a:p>
        </c:rich>
      </c:tx>
      <c:layout>
        <c:manualLayout>
          <c:xMode val="edge"/>
          <c:yMode val="edge"/>
          <c:x val="0.56278644299897296"/>
          <c:y val="0.31850133464195163"/>
        </c:manualLayout>
      </c:layout>
      <c:overlay val="1"/>
      <c:spPr>
        <a:solidFill>
          <a:schemeClr val="bg1"/>
        </a:solidFill>
      </c:spPr>
    </c:title>
    <c:autoTitleDeleted val="0"/>
    <c:plotArea>
      <c:layout>
        <c:manualLayout>
          <c:layoutTarget val="inner"/>
          <c:xMode val="edge"/>
          <c:yMode val="edge"/>
          <c:x val="0.19992557015276075"/>
          <c:y val="4.6838407494145202E-2"/>
          <c:w val="0.73259989223631761"/>
          <c:h val="0.81222617664595209"/>
        </c:manualLayout>
      </c:layout>
      <c:barChart>
        <c:barDir val="bar"/>
        <c:grouping val="clustered"/>
        <c:varyColors val="0"/>
        <c:ser>
          <c:idx val="0"/>
          <c:order val="0"/>
          <c:tx>
            <c:strRef>
              <c:f>'TABLES AND GRAPHS'!$T$62</c:f>
              <c:strCache>
                <c:ptCount val="1"/>
                <c:pt idx="0">
                  <c:v>Nutritional value, fresh wt x NP index</c:v>
                </c:pt>
              </c:strCache>
            </c:strRef>
          </c:tx>
          <c:spPr>
            <a:solidFill>
              <a:srgbClr val="00CC00"/>
            </a:solidFill>
            <a:ln>
              <a:solidFill>
                <a:schemeClr val="tx1"/>
              </a:solidFill>
            </a:ln>
          </c:spPr>
          <c:invertIfNegative val="0"/>
          <c:cat>
            <c:strRef>
              <c:f>'TABLES AND GRAPHS'!$S$63:$S$85</c:f>
              <c:strCache>
                <c:ptCount val="23"/>
                <c:pt idx="0">
                  <c:v>FRUIT</c:v>
                </c:pt>
                <c:pt idx="1">
                  <c:v>WHEAT</c:v>
                </c:pt>
                <c:pt idx="2">
                  <c:v>POTATOES</c:v>
                </c:pt>
                <c:pt idx="3">
                  <c:v>FIELD VEG</c:v>
                </c:pt>
                <c:pt idx="4">
                  <c:v>SUGAR BEET</c:v>
                </c:pt>
                <c:pt idx="5">
                  <c:v>PROTECTED</c:v>
                </c:pt>
                <c:pt idx="6">
                  <c:v>BARLEY</c:v>
                </c:pt>
                <c:pt idx="7">
                  <c:v>PADDY RICE</c:v>
                </c:pt>
                <c:pt idx="8">
                  <c:v>NUTS</c:v>
                </c:pt>
                <c:pt idx="9">
                  <c:v>OATS</c:v>
                </c:pt>
                <c:pt idx="10">
                  <c:v>OTHER CEREALS</c:v>
                </c:pt>
                <c:pt idx="11">
                  <c:v>OSR</c:v>
                </c:pt>
                <c:pt idx="12">
                  <c:v>BEANS</c:v>
                </c:pt>
                <c:pt idx="13">
                  <c:v>PEAS</c:v>
                </c:pt>
                <c:pt idx="15">
                  <c:v>FARMED FISH</c:v>
                </c:pt>
                <c:pt idx="16">
                  <c:v>WILD FISH</c:v>
                </c:pt>
                <c:pt idx="17">
                  <c:v>EGGS</c:v>
                </c:pt>
                <c:pt idx="18">
                  <c:v>POULTRY</c:v>
                </c:pt>
                <c:pt idx="19">
                  <c:v>SHEEP MEAT </c:v>
                </c:pt>
                <c:pt idx="20">
                  <c:v>PIG MEAT</c:v>
                </c:pt>
                <c:pt idx="21">
                  <c:v>BEEF</c:v>
                </c:pt>
                <c:pt idx="22">
                  <c:v> MILK &amp; PRODUCTS</c:v>
                </c:pt>
              </c:strCache>
            </c:strRef>
          </c:cat>
          <c:val>
            <c:numRef>
              <c:f>'TABLES AND GRAPHS'!$T$63:$T$85</c:f>
              <c:numCache>
                <c:formatCode>General</c:formatCode>
                <c:ptCount val="23"/>
                <c:pt idx="0">
                  <c:v>26745</c:v>
                </c:pt>
                <c:pt idx="1">
                  <c:v>23800.92</c:v>
                </c:pt>
                <c:pt idx="2">
                  <c:v>15409.8</c:v>
                </c:pt>
                <c:pt idx="3">
                  <c:v>14542.372881355934</c:v>
                </c:pt>
                <c:pt idx="4">
                  <c:v>7680.2203636363638</c:v>
                </c:pt>
                <c:pt idx="5">
                  <c:v>7514.0999999999995</c:v>
                </c:pt>
                <c:pt idx="6">
                  <c:v>4599.3999999999996</c:v>
                </c:pt>
                <c:pt idx="7">
                  <c:v>1600</c:v>
                </c:pt>
                <c:pt idx="8">
                  <c:v>1540</c:v>
                </c:pt>
                <c:pt idx="9">
                  <c:v>1128.5999999999999</c:v>
                </c:pt>
                <c:pt idx="10">
                  <c:v>810</c:v>
                </c:pt>
                <c:pt idx="11">
                  <c:v>763.61999999999989</c:v>
                </c:pt>
                <c:pt idx="12">
                  <c:v>389.88</c:v>
                </c:pt>
                <c:pt idx="13">
                  <c:v>380.7</c:v>
                </c:pt>
                <c:pt idx="14">
                  <c:v>0</c:v>
                </c:pt>
                <c:pt idx="15">
                  <c:v>2239.938214481112</c:v>
                </c:pt>
                <c:pt idx="16">
                  <c:v>1289.3399999999999</c:v>
                </c:pt>
                <c:pt idx="17">
                  <c:v>1846.2879999999998</c:v>
                </c:pt>
                <c:pt idx="18">
                  <c:v>4520.3100000000004</c:v>
                </c:pt>
                <c:pt idx="19">
                  <c:v>910.4699999999998</c:v>
                </c:pt>
                <c:pt idx="20">
                  <c:v>3694.8299999999995</c:v>
                </c:pt>
                <c:pt idx="21">
                  <c:v>2706.54</c:v>
                </c:pt>
                <c:pt idx="22">
                  <c:v>4146.75</c:v>
                </c:pt>
              </c:numCache>
            </c:numRef>
          </c:val>
          <c:extLst>
            <c:ext xmlns:c16="http://schemas.microsoft.com/office/drawing/2014/chart" uri="{C3380CC4-5D6E-409C-BE32-E72D297353CC}">
              <c16:uniqueId val="{00000000-63AF-4056-9B60-538532819AC0}"/>
            </c:ext>
          </c:extLst>
        </c:ser>
        <c:ser>
          <c:idx val="1"/>
          <c:order val="1"/>
          <c:tx>
            <c:strRef>
              <c:f>'TABLES AND GRAPHS'!$U$62</c:f>
              <c:strCache>
                <c:ptCount val="1"/>
                <c:pt idx="0">
                  <c:v>Total GHGE, kt/y</c:v>
                </c:pt>
              </c:strCache>
            </c:strRef>
          </c:tx>
          <c:spPr>
            <a:solidFill>
              <a:schemeClr val="tx1"/>
            </a:solidFill>
            <a:ln>
              <a:solidFill>
                <a:schemeClr val="tx1"/>
              </a:solidFill>
            </a:ln>
          </c:spPr>
          <c:invertIfNegative val="0"/>
          <c:cat>
            <c:strRef>
              <c:f>'TABLES AND GRAPHS'!$S$63:$S$85</c:f>
              <c:strCache>
                <c:ptCount val="23"/>
                <c:pt idx="0">
                  <c:v>FRUIT</c:v>
                </c:pt>
                <c:pt idx="1">
                  <c:v>WHEAT</c:v>
                </c:pt>
                <c:pt idx="2">
                  <c:v>POTATOES</c:v>
                </c:pt>
                <c:pt idx="3">
                  <c:v>FIELD VEG</c:v>
                </c:pt>
                <c:pt idx="4">
                  <c:v>SUGAR BEET</c:v>
                </c:pt>
                <c:pt idx="5">
                  <c:v>PROTECTED</c:v>
                </c:pt>
                <c:pt idx="6">
                  <c:v>BARLEY</c:v>
                </c:pt>
                <c:pt idx="7">
                  <c:v>PADDY RICE</c:v>
                </c:pt>
                <c:pt idx="8">
                  <c:v>NUTS</c:v>
                </c:pt>
                <c:pt idx="9">
                  <c:v>OATS</c:v>
                </c:pt>
                <c:pt idx="10">
                  <c:v>OTHER CEREALS</c:v>
                </c:pt>
                <c:pt idx="11">
                  <c:v>OSR</c:v>
                </c:pt>
                <c:pt idx="12">
                  <c:v>BEANS</c:v>
                </c:pt>
                <c:pt idx="13">
                  <c:v>PEAS</c:v>
                </c:pt>
                <c:pt idx="15">
                  <c:v>FARMED FISH</c:v>
                </c:pt>
                <c:pt idx="16">
                  <c:v>WILD FISH</c:v>
                </c:pt>
                <c:pt idx="17">
                  <c:v>EGGS</c:v>
                </c:pt>
                <c:pt idx="18">
                  <c:v>POULTRY</c:v>
                </c:pt>
                <c:pt idx="19">
                  <c:v>SHEEP MEAT </c:v>
                </c:pt>
                <c:pt idx="20">
                  <c:v>PIG MEAT</c:v>
                </c:pt>
                <c:pt idx="21">
                  <c:v>BEEF</c:v>
                </c:pt>
                <c:pt idx="22">
                  <c:v> MILK &amp; PRODUCTS</c:v>
                </c:pt>
              </c:strCache>
            </c:strRef>
          </c:cat>
          <c:val>
            <c:numRef>
              <c:f>'TABLES AND GRAPHS'!$U$63:$U$85</c:f>
              <c:numCache>
                <c:formatCode>General</c:formatCode>
                <c:ptCount val="23"/>
                <c:pt idx="0">
                  <c:v>8707.5</c:v>
                </c:pt>
                <c:pt idx="1">
                  <c:v>4901.82</c:v>
                </c:pt>
                <c:pt idx="2">
                  <c:v>1477.8142857142859</c:v>
                </c:pt>
                <c:pt idx="3">
                  <c:v>4913.5593220338997</c:v>
                </c:pt>
                <c:pt idx="4">
                  <c:v>549.36800000000005</c:v>
                </c:pt>
                <c:pt idx="5">
                  <c:v>3400.83</c:v>
                </c:pt>
                <c:pt idx="6">
                  <c:v>707.6</c:v>
                </c:pt>
                <c:pt idx="7">
                  <c:v>2243.5</c:v>
                </c:pt>
                <c:pt idx="8">
                  <c:v>540.32000000000005</c:v>
                </c:pt>
                <c:pt idx="9">
                  <c:v>158.84</c:v>
                </c:pt>
                <c:pt idx="10">
                  <c:v>147</c:v>
                </c:pt>
                <c:pt idx="11">
                  <c:v>2055.9</c:v>
                </c:pt>
                <c:pt idx="12">
                  <c:v>73.644000000000005</c:v>
                </c:pt>
                <c:pt idx="13">
                  <c:v>71.91</c:v>
                </c:pt>
                <c:pt idx="15">
                  <c:v>395.01</c:v>
                </c:pt>
                <c:pt idx="16">
                  <c:v>1670.5</c:v>
                </c:pt>
                <c:pt idx="17">
                  <c:v>2156.92</c:v>
                </c:pt>
                <c:pt idx="18">
                  <c:v>4850.87</c:v>
                </c:pt>
                <c:pt idx="19">
                  <c:v>5074.5999999999995</c:v>
                </c:pt>
                <c:pt idx="20">
                  <c:v>7066.3600000000006</c:v>
                </c:pt>
                <c:pt idx="21">
                  <c:v>14681.8</c:v>
                </c:pt>
                <c:pt idx="22">
                  <c:v>20038.46</c:v>
                </c:pt>
              </c:numCache>
            </c:numRef>
          </c:val>
          <c:extLst>
            <c:ext xmlns:c16="http://schemas.microsoft.com/office/drawing/2014/chart" uri="{C3380CC4-5D6E-409C-BE32-E72D297353CC}">
              <c16:uniqueId val="{00000001-63AF-4056-9B60-538532819AC0}"/>
            </c:ext>
          </c:extLst>
        </c:ser>
        <c:dLbls>
          <c:showLegendKey val="0"/>
          <c:showVal val="0"/>
          <c:showCatName val="0"/>
          <c:showSerName val="0"/>
          <c:showPercent val="0"/>
          <c:showBubbleSize val="0"/>
        </c:dLbls>
        <c:gapWidth val="150"/>
        <c:axId val="300943680"/>
        <c:axId val="1"/>
      </c:barChart>
      <c:catAx>
        <c:axId val="300943680"/>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27000"/>
          <c:min val="0"/>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00943680"/>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24497202591925102"/>
          <c:y val="2.1960784313725491E-2"/>
          <c:w val="0.67883548615411837"/>
          <c:h val="0.88689677319746796"/>
        </c:manualLayout>
      </c:layout>
      <c:bar3DChart>
        <c:barDir val="bar"/>
        <c:grouping val="clustered"/>
        <c:varyColors val="0"/>
        <c:ser>
          <c:idx val="0"/>
          <c:order val="0"/>
          <c:invertIfNegative val="0"/>
          <c:dPt>
            <c:idx val="1"/>
            <c:invertIfNegative val="0"/>
            <c:bubble3D val="0"/>
            <c:spPr>
              <a:solidFill>
                <a:srgbClr val="FF0000"/>
              </a:solidFill>
            </c:spPr>
            <c:extLst>
              <c:ext xmlns:c16="http://schemas.microsoft.com/office/drawing/2014/chart" uri="{C3380CC4-5D6E-409C-BE32-E72D297353CC}">
                <c16:uniqueId val="{00000000-CC87-4CEA-9EDB-F2FFD17E6168}"/>
              </c:ext>
            </c:extLst>
          </c:dPt>
          <c:dPt>
            <c:idx val="4"/>
            <c:invertIfNegative val="0"/>
            <c:bubble3D val="0"/>
            <c:spPr>
              <a:solidFill>
                <a:srgbClr val="FF0000"/>
              </a:solidFill>
            </c:spPr>
            <c:extLst>
              <c:ext xmlns:c16="http://schemas.microsoft.com/office/drawing/2014/chart" uri="{C3380CC4-5D6E-409C-BE32-E72D297353CC}">
                <c16:uniqueId val="{00000001-CC87-4CEA-9EDB-F2FFD17E6168}"/>
              </c:ext>
            </c:extLst>
          </c:dPt>
          <c:dPt>
            <c:idx val="6"/>
            <c:invertIfNegative val="0"/>
            <c:bubble3D val="0"/>
            <c:spPr>
              <a:solidFill>
                <a:srgbClr val="FF0000"/>
              </a:solidFill>
            </c:spPr>
            <c:extLst>
              <c:ext xmlns:c16="http://schemas.microsoft.com/office/drawing/2014/chart" uri="{C3380CC4-5D6E-409C-BE32-E72D297353CC}">
                <c16:uniqueId val="{00000002-CC87-4CEA-9EDB-F2FFD17E6168}"/>
              </c:ext>
            </c:extLst>
          </c:dPt>
          <c:dPt>
            <c:idx val="9"/>
            <c:invertIfNegative val="0"/>
            <c:bubble3D val="0"/>
            <c:spPr>
              <a:solidFill>
                <a:srgbClr val="FF0000"/>
              </a:solidFill>
            </c:spPr>
            <c:extLst>
              <c:ext xmlns:c16="http://schemas.microsoft.com/office/drawing/2014/chart" uri="{C3380CC4-5D6E-409C-BE32-E72D297353CC}">
                <c16:uniqueId val="{00000003-CC87-4CEA-9EDB-F2FFD17E6168}"/>
              </c:ext>
            </c:extLst>
          </c:dPt>
          <c:dPt>
            <c:idx val="10"/>
            <c:invertIfNegative val="0"/>
            <c:bubble3D val="0"/>
            <c:spPr>
              <a:solidFill>
                <a:srgbClr val="FF0000"/>
              </a:solidFill>
            </c:spPr>
            <c:extLst>
              <c:ext xmlns:c16="http://schemas.microsoft.com/office/drawing/2014/chart" uri="{C3380CC4-5D6E-409C-BE32-E72D297353CC}">
                <c16:uniqueId val="{00000004-CC87-4CEA-9EDB-F2FFD17E6168}"/>
              </c:ext>
            </c:extLst>
          </c:dPt>
          <c:dPt>
            <c:idx val="13"/>
            <c:invertIfNegative val="0"/>
            <c:bubble3D val="0"/>
            <c:spPr>
              <a:solidFill>
                <a:srgbClr val="FF0000"/>
              </a:solidFill>
            </c:spPr>
            <c:extLst>
              <c:ext xmlns:c16="http://schemas.microsoft.com/office/drawing/2014/chart" uri="{C3380CC4-5D6E-409C-BE32-E72D297353CC}">
                <c16:uniqueId val="{00000005-CC87-4CEA-9EDB-F2FFD17E6168}"/>
              </c:ext>
            </c:extLst>
          </c:dPt>
          <c:cat>
            <c:strRef>
              <c:f>'TABLES AND GRAPHS'!$E$98:$E$122</c:f>
              <c:strCache>
                <c:ptCount val="20"/>
                <c:pt idx="0">
                  <c:v>SHEEP MEAT &amp; GOAT</c:v>
                </c:pt>
                <c:pt idx="1">
                  <c:v>WHEAT</c:v>
                </c:pt>
                <c:pt idx="2">
                  <c:v> MILK &amp; PRODUCTS</c:v>
                </c:pt>
                <c:pt idx="3">
                  <c:v>FIELD VEG</c:v>
                </c:pt>
                <c:pt idx="4">
                  <c:v>FRUIT</c:v>
                </c:pt>
                <c:pt idx="5">
                  <c:v>BEEF</c:v>
                </c:pt>
                <c:pt idx="6">
                  <c:v>RAPESEED</c:v>
                </c:pt>
                <c:pt idx="7">
                  <c:v>POULTRY</c:v>
                </c:pt>
                <c:pt idx="8">
                  <c:v>LEGUMES</c:v>
                </c:pt>
                <c:pt idx="9">
                  <c:v>NUTS &amp; SEEDS</c:v>
                </c:pt>
                <c:pt idx="10">
                  <c:v>PIG MEAT</c:v>
                </c:pt>
                <c:pt idx="11">
                  <c:v>EGGS</c:v>
                </c:pt>
                <c:pt idx="12">
                  <c:v>BARLEY</c:v>
                </c:pt>
                <c:pt idx="13">
                  <c:v>OTHER CEREALS</c:v>
                </c:pt>
                <c:pt idx="14">
                  <c:v>FARMED FISH</c:v>
                </c:pt>
                <c:pt idx="15">
                  <c:v>OATS</c:v>
                </c:pt>
                <c:pt idx="16">
                  <c:v>POTATOES</c:v>
                </c:pt>
                <c:pt idx="17">
                  <c:v>PADDY RICE</c:v>
                </c:pt>
                <c:pt idx="18">
                  <c:v>SUGAR BEET</c:v>
                </c:pt>
                <c:pt idx="19">
                  <c:v>PROTECTED</c:v>
                </c:pt>
              </c:strCache>
            </c:strRef>
          </c:cat>
          <c:val>
            <c:numRef>
              <c:f>'TABLES AND GRAPHS'!$F$98:$F$122</c:f>
              <c:numCache>
                <c:formatCode>0</c:formatCode>
                <c:ptCount val="25"/>
                <c:pt idx="0">
                  <c:v>1160.5984320000002</c:v>
                </c:pt>
                <c:pt idx="1">
                  <c:v>1142.4000000000001</c:v>
                </c:pt>
                <c:pt idx="2">
                  <c:v>1093.7288593636363</c:v>
                </c:pt>
                <c:pt idx="3">
                  <c:v>952.64542372881374</c:v>
                </c:pt>
                <c:pt idx="4">
                  <c:v>824.57606168674704</c:v>
                </c:pt>
                <c:pt idx="5">
                  <c:v>790.23235200000022</c:v>
                </c:pt>
                <c:pt idx="6">
                  <c:v>486.6176649746194</c:v>
                </c:pt>
                <c:pt idx="7">
                  <c:v>477.52320000000003</c:v>
                </c:pt>
                <c:pt idx="8">
                  <c:v>426</c:v>
                </c:pt>
                <c:pt idx="9">
                  <c:v>448.91750400000001</c:v>
                </c:pt>
                <c:pt idx="10">
                  <c:v>387.604896</c:v>
                </c:pt>
                <c:pt idx="11">
                  <c:v>360.88416000000001</c:v>
                </c:pt>
                <c:pt idx="12">
                  <c:v>331.05479432107762</c:v>
                </c:pt>
                <c:pt idx="13">
                  <c:v>209.05920000000003</c:v>
                </c:pt>
                <c:pt idx="14">
                  <c:v>200</c:v>
                </c:pt>
                <c:pt idx="15">
                  <c:v>190.31216583941605</c:v>
                </c:pt>
                <c:pt idx="16">
                  <c:v>130.99053885854457</c:v>
                </c:pt>
                <c:pt idx="17">
                  <c:v>89.107199999999992</c:v>
                </c:pt>
                <c:pt idx="18">
                  <c:v>76.189742326520161</c:v>
                </c:pt>
                <c:pt idx="19">
                  <c:v>29.392596610169495</c:v>
                </c:pt>
              </c:numCache>
            </c:numRef>
          </c:val>
          <c:extLst>
            <c:ext xmlns:c16="http://schemas.microsoft.com/office/drawing/2014/chart" uri="{C3380CC4-5D6E-409C-BE32-E72D297353CC}">
              <c16:uniqueId val="{00000006-CC87-4CEA-9EDB-F2FFD17E6168}"/>
            </c:ext>
          </c:extLst>
        </c:ser>
        <c:dLbls>
          <c:showLegendKey val="0"/>
          <c:showVal val="0"/>
          <c:showCatName val="0"/>
          <c:showSerName val="0"/>
          <c:showPercent val="0"/>
          <c:showBubbleSize val="0"/>
        </c:dLbls>
        <c:gapWidth val="150"/>
        <c:shape val="box"/>
        <c:axId val="300942696"/>
        <c:axId val="1"/>
        <c:axId val="0"/>
      </c:bar3DChart>
      <c:catAx>
        <c:axId val="300942696"/>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00942696"/>
        <c:crosses val="autoZero"/>
        <c:crossBetween val="between"/>
      </c:valAx>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'TABLES AND GRAPHS'!$H$88:$H$108</c:f>
              <c:strCache>
                <c:ptCount val="21"/>
                <c:pt idx="0">
                  <c:v>SHEEP MEAT &amp; GOAT</c:v>
                </c:pt>
                <c:pt idx="1">
                  <c:v>IMPORTED PLANTATION CROPS</c:v>
                </c:pt>
                <c:pt idx="2">
                  <c:v>BEEF</c:v>
                </c:pt>
                <c:pt idx="3">
                  <c:v>NUTS</c:v>
                </c:pt>
                <c:pt idx="4">
                  <c:v> MILK &amp; PRODUCTS</c:v>
                </c:pt>
                <c:pt idx="5">
                  <c:v>EGGS</c:v>
                </c:pt>
                <c:pt idx="6">
                  <c:v>FARMED FISH</c:v>
                </c:pt>
                <c:pt idx="7">
                  <c:v>OATS</c:v>
                </c:pt>
                <c:pt idx="8">
                  <c:v>BEANS</c:v>
                </c:pt>
                <c:pt idx="9">
                  <c:v>POULTRY</c:v>
                </c:pt>
                <c:pt idx="10">
                  <c:v>PEAS</c:v>
                </c:pt>
                <c:pt idx="11">
                  <c:v>PIG MEAT</c:v>
                </c:pt>
                <c:pt idx="12">
                  <c:v>OSR</c:v>
                </c:pt>
                <c:pt idx="13">
                  <c:v>FIELD VEG</c:v>
                </c:pt>
                <c:pt idx="14">
                  <c:v>BARLEY</c:v>
                </c:pt>
                <c:pt idx="15">
                  <c:v>WHEAT</c:v>
                </c:pt>
                <c:pt idx="16">
                  <c:v>PADDY RICE</c:v>
                </c:pt>
                <c:pt idx="17">
                  <c:v>FRUIT</c:v>
                </c:pt>
                <c:pt idx="18">
                  <c:v>POTATOES</c:v>
                </c:pt>
                <c:pt idx="19">
                  <c:v>PROTECTED</c:v>
                </c:pt>
                <c:pt idx="20">
                  <c:v>SUGAR BEET</c:v>
                </c:pt>
              </c:strCache>
            </c:strRef>
          </c:cat>
          <c:val>
            <c:numRef>
              <c:f>'TABLES AND GRAPHS'!$G$88:$G$108</c:f>
              <c:numCache>
                <c:formatCode>0.00</c:formatCode>
                <c:ptCount val="21"/>
                <c:pt idx="0">
                  <c:v>3.4035144633431091</c:v>
                </c:pt>
                <c:pt idx="1">
                  <c:v>1.0567200000000001</c:v>
                </c:pt>
                <c:pt idx="2">
                  <c:v>0.69197228721541171</c:v>
                </c:pt>
                <c:pt idx="3">
                  <c:v>0.6</c:v>
                </c:pt>
                <c:pt idx="4">
                  <c:v>0.59345027637744774</c:v>
                </c:pt>
                <c:pt idx="5">
                  <c:v>0.50234432071269486</c:v>
                </c:pt>
                <c:pt idx="6">
                  <c:v>0.38314176245210729</c:v>
                </c:pt>
                <c:pt idx="7">
                  <c:v>0.28999999999999998</c:v>
                </c:pt>
                <c:pt idx="8">
                  <c:v>0.28999999999999998</c:v>
                </c:pt>
                <c:pt idx="9">
                  <c:v>0.28205741287655051</c:v>
                </c:pt>
                <c:pt idx="10">
                  <c:v>0.27</c:v>
                </c:pt>
                <c:pt idx="11">
                  <c:v>0.24862405131494547</c:v>
                </c:pt>
                <c:pt idx="12">
                  <c:v>0.24852791878172595</c:v>
                </c:pt>
                <c:pt idx="13">
                  <c:v>0.21617723076923079</c:v>
                </c:pt>
                <c:pt idx="14">
                  <c:v>0.1871423370950128</c:v>
                </c:pt>
                <c:pt idx="15">
                  <c:v>0.14975421118175264</c:v>
                </c:pt>
                <c:pt idx="16">
                  <c:v>0.13901279251170046</c:v>
                </c:pt>
                <c:pt idx="17">
                  <c:v>9.2493108433734941E-2</c:v>
                </c:pt>
                <c:pt idx="18">
                  <c:v>1.9485252657399837E-2</c:v>
                </c:pt>
                <c:pt idx="19">
                  <c:v>1.2908474576271188E-2</c:v>
                </c:pt>
                <c:pt idx="20">
                  <c:v>1.2896331138287868E-2</c:v>
                </c:pt>
              </c:numCache>
            </c:numRef>
          </c:val>
          <c:extLst>
            <c:ext xmlns:c16="http://schemas.microsoft.com/office/drawing/2014/chart" uri="{C3380CC4-5D6E-409C-BE32-E72D297353CC}">
              <c16:uniqueId val="{00000000-CA52-4FF4-A446-06C4DFAE1F9F}"/>
            </c:ext>
          </c:extLst>
        </c:ser>
        <c:dLbls>
          <c:showLegendKey val="0"/>
          <c:showVal val="0"/>
          <c:showCatName val="0"/>
          <c:showSerName val="0"/>
          <c:showPercent val="0"/>
          <c:showBubbleSize val="0"/>
        </c:dLbls>
        <c:gapWidth val="150"/>
        <c:axId val="300940072"/>
        <c:axId val="1"/>
      </c:barChart>
      <c:catAx>
        <c:axId val="300940072"/>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Hectares per t fresh wt at farm gate</a:t>
                </a:r>
              </a:p>
            </c:rich>
          </c:tx>
          <c:overlay val="0"/>
        </c:title>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0094007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spPr>
            <a:solidFill>
              <a:schemeClr val="accent1"/>
            </a:solidFill>
            <a:ln>
              <a:noFill/>
            </a:ln>
            <a:effectLst/>
            <a:sp3d/>
          </c:spPr>
          <c:invertIfNegative val="0"/>
          <c:val>
            <c:numRef>
              <c:f>'TABLES AND GRAPHS'!$K$23:$K$48</c:f>
              <c:numCache>
                <c:formatCode>0</c:formatCode>
                <c:ptCount val="26"/>
                <c:pt idx="0">
                  <c:v>136.4</c:v>
                </c:pt>
                <c:pt idx="1">
                  <c:v>456.8</c:v>
                </c:pt>
                <c:pt idx="2">
                  <c:v>1843.01</c:v>
                </c:pt>
                <c:pt idx="3">
                  <c:v>359.2</c:v>
                </c:pt>
                <c:pt idx="4">
                  <c:v>779.5</c:v>
                </c:pt>
                <c:pt idx="5">
                  <c:v>846.5</c:v>
                </c:pt>
                <c:pt idx="6">
                  <c:v>85.5</c:v>
                </c:pt>
                <c:pt idx="7" formatCode="General">
                  <c:v>261</c:v>
                </c:pt>
                <c:pt idx="11">
                  <c:v>224.8</c:v>
                </c:pt>
                <c:pt idx="12">
                  <c:v>601.72</c:v>
                </c:pt>
                <c:pt idx="13">
                  <c:v>400.8</c:v>
                </c:pt>
                <c:pt idx="14">
                  <c:v>595</c:v>
                </c:pt>
                <c:pt idx="15">
                  <c:v>574.4</c:v>
                </c:pt>
                <c:pt idx="16">
                  <c:v>764.75</c:v>
                </c:pt>
                <c:pt idx="17">
                  <c:v>1503.65</c:v>
                </c:pt>
                <c:pt idx="18">
                  <c:v>1762.2</c:v>
                </c:pt>
                <c:pt idx="19">
                  <c:v>222.7</c:v>
                </c:pt>
                <c:pt idx="20">
                  <c:v>484.74576271186453</c:v>
                </c:pt>
                <c:pt idx="21">
                  <c:v>1181.5723636363637</c:v>
                </c:pt>
                <c:pt idx="22">
                  <c:v>5378.0380952380956</c:v>
                </c:pt>
                <c:pt idx="23">
                  <c:v>6484.2250000000004</c:v>
                </c:pt>
                <c:pt idx="24">
                  <c:v>6143.04</c:v>
                </c:pt>
                <c:pt idx="25">
                  <c:v>891.5</c:v>
                </c:pt>
              </c:numCache>
            </c:numRef>
          </c:val>
          <c:extLst>
            <c:ext xmlns:c16="http://schemas.microsoft.com/office/drawing/2014/chart" uri="{C3380CC4-5D6E-409C-BE32-E72D297353CC}">
              <c16:uniqueId val="{00000000-FC3C-4FC3-9C8C-393A5D00B330}"/>
            </c:ext>
          </c:extLst>
        </c:ser>
        <c:ser>
          <c:idx val="1"/>
          <c:order val="1"/>
          <c:spPr>
            <a:solidFill>
              <a:schemeClr val="accent2"/>
            </a:solidFill>
            <a:ln>
              <a:noFill/>
            </a:ln>
            <a:effectLst/>
            <a:sp3d/>
          </c:spPr>
          <c:invertIfNegative val="0"/>
          <c:val>
            <c:numRef>
              <c:f>'TABLES AND GRAPHS'!$L$23:$L$48</c:f>
              <c:numCache>
                <c:formatCode>General</c:formatCode>
                <c:ptCount val="26"/>
                <c:pt idx="0">
                  <c:v>17000</c:v>
                </c:pt>
                <c:pt idx="1">
                  <c:v>16000</c:v>
                </c:pt>
                <c:pt idx="2">
                  <c:v>10370</c:v>
                </c:pt>
                <c:pt idx="3">
                  <c:v>5200</c:v>
                </c:pt>
                <c:pt idx="4">
                  <c:v>4500</c:v>
                </c:pt>
                <c:pt idx="5">
                  <c:v>4200</c:v>
                </c:pt>
                <c:pt idx="6">
                  <c:v>4000</c:v>
                </c:pt>
                <c:pt idx="7">
                  <c:v>4000</c:v>
                </c:pt>
                <c:pt idx="11">
                  <c:v>510</c:v>
                </c:pt>
                <c:pt idx="12">
                  <c:v>880</c:v>
                </c:pt>
                <c:pt idx="13">
                  <c:v>450</c:v>
                </c:pt>
                <c:pt idx="14">
                  <c:v>3500</c:v>
                </c:pt>
                <c:pt idx="15">
                  <c:v>380</c:v>
                </c:pt>
                <c:pt idx="16">
                  <c:v>800</c:v>
                </c:pt>
                <c:pt idx="17">
                  <c:v>400</c:v>
                </c:pt>
                <c:pt idx="18">
                  <c:v>1050</c:v>
                </c:pt>
                <c:pt idx="19">
                  <c:v>3500</c:v>
                </c:pt>
                <c:pt idx="20">
                  <c:v>500</c:v>
                </c:pt>
                <c:pt idx="21">
                  <c:v>100</c:v>
                </c:pt>
                <c:pt idx="22">
                  <c:v>230</c:v>
                </c:pt>
                <c:pt idx="23">
                  <c:v>516</c:v>
                </c:pt>
                <c:pt idx="24">
                  <c:v>90</c:v>
                </c:pt>
                <c:pt idx="25">
                  <c:v>500</c:v>
                </c:pt>
              </c:numCache>
            </c:numRef>
          </c:val>
          <c:extLst>
            <c:ext xmlns:c16="http://schemas.microsoft.com/office/drawing/2014/chart" uri="{C3380CC4-5D6E-409C-BE32-E72D297353CC}">
              <c16:uniqueId val="{00000001-FC3C-4FC3-9C8C-393A5D00B330}"/>
            </c:ext>
          </c:extLst>
        </c:ser>
        <c:dLbls>
          <c:showLegendKey val="0"/>
          <c:showVal val="0"/>
          <c:showCatName val="0"/>
          <c:showSerName val="0"/>
          <c:showPercent val="0"/>
          <c:showBubbleSize val="0"/>
        </c:dLbls>
        <c:gapWidth val="150"/>
        <c:shape val="box"/>
        <c:axId val="772826248"/>
        <c:axId val="772826576"/>
        <c:axId val="0"/>
      </c:bar3DChart>
      <c:catAx>
        <c:axId val="772826248"/>
        <c:scaling>
          <c:orientation val="minMax"/>
        </c:scaling>
        <c:delete val="0"/>
        <c:axPos val="l"/>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2826576"/>
        <c:crosses val="autoZero"/>
        <c:auto val="1"/>
        <c:lblAlgn val="ctr"/>
        <c:lblOffset val="100"/>
        <c:noMultiLvlLbl val="0"/>
      </c:catAx>
      <c:valAx>
        <c:axId val="77282657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2826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en-GB" sz="1200"/>
              <a:t>Comparison of GHG intensities and nutritional production</a:t>
            </a:r>
            <a:r>
              <a:rPr lang="en-GB" sz="1200" baseline="0"/>
              <a:t> for UK agricultural commodities</a:t>
            </a:r>
            <a:endParaRPr lang="en-GB" sz="1200"/>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title>
    <c:autoTitleDeleted val="0"/>
    <c:plotArea>
      <c:layout/>
      <c:barChart>
        <c:barDir val="bar"/>
        <c:grouping val="clustered"/>
        <c:varyColors val="0"/>
        <c:ser>
          <c:idx val="0"/>
          <c:order val="0"/>
          <c:tx>
            <c:v>Annual production of dry matter, kt</c:v>
          </c:tx>
          <c:spPr>
            <a:solidFill>
              <a:srgbClr val="92D050"/>
            </a:solidFill>
            <a:ln>
              <a:noFill/>
            </a:ln>
            <a:effectLst>
              <a:outerShdw blurRad="40000" dist="23000" dir="5400000" rotWithShape="0">
                <a:srgbClr val="000000">
                  <a:alpha val="35000"/>
                </a:srgbClr>
              </a:outerShdw>
            </a:effectLst>
          </c:spPr>
          <c:invertIfNegative val="0"/>
          <c:cat>
            <c:strRef>
              <c:f>'TABLES AND GRAPHS'!$AF$36:$AF$60</c:f>
              <c:strCache>
                <c:ptCount val="25"/>
                <c:pt idx="0">
                  <c:v>SHEEP MEAT </c:v>
                </c:pt>
                <c:pt idx="1">
                  <c:v>BEEF</c:v>
                </c:pt>
                <c:pt idx="2">
                  <c:v>Milk products</c:v>
                </c:pt>
                <c:pt idx="3">
                  <c:v>EGGS</c:v>
                </c:pt>
                <c:pt idx="4">
                  <c:v>PIG MEAT</c:v>
                </c:pt>
                <c:pt idx="5">
                  <c:v>POULTRY</c:v>
                </c:pt>
                <c:pt idx="6">
                  <c:v>FARMED FISH</c:v>
                </c:pt>
                <c:pt idx="7">
                  <c:v>WILD FISH</c:v>
                </c:pt>
                <c:pt idx="8">
                  <c:v>Milk</c:v>
                </c:pt>
                <c:pt idx="10">
                  <c:v>LEGUMES</c:v>
                </c:pt>
                <c:pt idx="11">
                  <c:v>PROTECTED CROPS</c:v>
                </c:pt>
                <c:pt idx="12">
                  <c:v>OTHER CEREALS</c:v>
                </c:pt>
                <c:pt idx="13">
                  <c:v>PADDY RICE</c:v>
                </c:pt>
                <c:pt idx="14">
                  <c:v>NUTS</c:v>
                </c:pt>
                <c:pt idx="15">
                  <c:v>FIELD VEG</c:v>
                </c:pt>
                <c:pt idx="16">
                  <c:v>MAIZE</c:v>
                </c:pt>
                <c:pt idx="17">
                  <c:v>IMPORTED  OILSEEDS</c:v>
                </c:pt>
                <c:pt idx="18">
                  <c:v>FRUIT</c:v>
                </c:pt>
                <c:pt idx="19">
                  <c:v>SUGAR BEET</c:v>
                </c:pt>
                <c:pt idx="20">
                  <c:v>BARLEY</c:v>
                </c:pt>
                <c:pt idx="21">
                  <c:v>OILSEEDS</c:v>
                </c:pt>
                <c:pt idx="22">
                  <c:v>POTATOES</c:v>
                </c:pt>
                <c:pt idx="23">
                  <c:v>CANE SUGAR</c:v>
                </c:pt>
                <c:pt idx="24">
                  <c:v>WHEAT</c:v>
                </c:pt>
              </c:strCache>
            </c:strRef>
          </c:cat>
          <c:val>
            <c:numRef>
              <c:f>'TABLES AND GRAPHS'!$AG$36:$AG$60</c:f>
              <c:numCache>
                <c:formatCode>0</c:formatCode>
                <c:ptCount val="25"/>
                <c:pt idx="0">
                  <c:v>136.4</c:v>
                </c:pt>
                <c:pt idx="1">
                  <c:v>456.8</c:v>
                </c:pt>
                <c:pt idx="2">
                  <c:v>488</c:v>
                </c:pt>
                <c:pt idx="3">
                  <c:v>359.2</c:v>
                </c:pt>
                <c:pt idx="4">
                  <c:v>779.5</c:v>
                </c:pt>
                <c:pt idx="5">
                  <c:v>846.5</c:v>
                </c:pt>
                <c:pt idx="6">
                  <c:v>85.5</c:v>
                </c:pt>
                <c:pt idx="7" formatCode="General">
                  <c:v>261</c:v>
                </c:pt>
                <c:pt idx="8">
                  <c:v>1086</c:v>
                </c:pt>
                <c:pt idx="10">
                  <c:v>224.8</c:v>
                </c:pt>
                <c:pt idx="11">
                  <c:v>222.7</c:v>
                </c:pt>
                <c:pt idx="12">
                  <c:v>574.4</c:v>
                </c:pt>
                <c:pt idx="13">
                  <c:v>595</c:v>
                </c:pt>
                <c:pt idx="14">
                  <c:v>601.72</c:v>
                </c:pt>
                <c:pt idx="15">
                  <c:v>484.74576271186453</c:v>
                </c:pt>
                <c:pt idx="16">
                  <c:v>400.8</c:v>
                </c:pt>
                <c:pt idx="17">
                  <c:v>764.75</c:v>
                </c:pt>
                <c:pt idx="18">
                  <c:v>891.5</c:v>
                </c:pt>
                <c:pt idx="19">
                  <c:v>1181.5723636363637</c:v>
                </c:pt>
                <c:pt idx="20">
                  <c:v>1503.65</c:v>
                </c:pt>
                <c:pt idx="21">
                  <c:v>1762.2</c:v>
                </c:pt>
                <c:pt idx="22">
                  <c:v>5378.0380952380956</c:v>
                </c:pt>
                <c:pt idx="23">
                  <c:v>6143.04</c:v>
                </c:pt>
                <c:pt idx="24">
                  <c:v>6484.2250000000004</c:v>
                </c:pt>
              </c:numCache>
            </c:numRef>
          </c:val>
          <c:extLst>
            <c:ext xmlns:c16="http://schemas.microsoft.com/office/drawing/2014/chart" uri="{C3380CC4-5D6E-409C-BE32-E72D297353CC}">
              <c16:uniqueId val="{00000000-F6B7-462F-91DE-F27E26164CC5}"/>
            </c:ext>
          </c:extLst>
        </c:ser>
        <c:ser>
          <c:idx val="2"/>
          <c:order val="2"/>
          <c:tx>
            <c:v>GHG emissions per kg production</c:v>
          </c:tx>
          <c:spPr>
            <a:solidFill>
              <a:schemeClr val="tx1"/>
            </a:solidFill>
            <a:ln>
              <a:noFill/>
            </a:ln>
            <a:effectLst>
              <a:outerShdw blurRad="40000" dist="23000" dir="5400000" rotWithShape="0">
                <a:srgbClr val="000000">
                  <a:alpha val="35000"/>
                </a:srgbClr>
              </a:outerShdw>
            </a:effectLst>
          </c:spPr>
          <c:invertIfNegative val="0"/>
          <c:cat>
            <c:strRef>
              <c:f>'TABLES AND GRAPHS'!$AF$36:$AF$60</c:f>
              <c:strCache>
                <c:ptCount val="25"/>
                <c:pt idx="0">
                  <c:v>SHEEP MEAT </c:v>
                </c:pt>
                <c:pt idx="1">
                  <c:v>BEEF</c:v>
                </c:pt>
                <c:pt idx="2">
                  <c:v>Milk products</c:v>
                </c:pt>
                <c:pt idx="3">
                  <c:v>EGGS</c:v>
                </c:pt>
                <c:pt idx="4">
                  <c:v>PIG MEAT</c:v>
                </c:pt>
                <c:pt idx="5">
                  <c:v>POULTRY</c:v>
                </c:pt>
                <c:pt idx="6">
                  <c:v>FARMED FISH</c:v>
                </c:pt>
                <c:pt idx="7">
                  <c:v>WILD FISH</c:v>
                </c:pt>
                <c:pt idx="8">
                  <c:v>Milk</c:v>
                </c:pt>
                <c:pt idx="10">
                  <c:v>LEGUMES</c:v>
                </c:pt>
                <c:pt idx="11">
                  <c:v>PROTECTED CROPS</c:v>
                </c:pt>
                <c:pt idx="12">
                  <c:v>OTHER CEREALS</c:v>
                </c:pt>
                <c:pt idx="13">
                  <c:v>PADDY RICE</c:v>
                </c:pt>
                <c:pt idx="14">
                  <c:v>NUTS</c:v>
                </c:pt>
                <c:pt idx="15">
                  <c:v>FIELD VEG</c:v>
                </c:pt>
                <c:pt idx="16">
                  <c:v>MAIZE</c:v>
                </c:pt>
                <c:pt idx="17">
                  <c:v>IMPORTED  OILSEEDS</c:v>
                </c:pt>
                <c:pt idx="18">
                  <c:v>FRUIT</c:v>
                </c:pt>
                <c:pt idx="19">
                  <c:v>SUGAR BEET</c:v>
                </c:pt>
                <c:pt idx="20">
                  <c:v>BARLEY</c:v>
                </c:pt>
                <c:pt idx="21">
                  <c:v>OILSEEDS</c:v>
                </c:pt>
                <c:pt idx="22">
                  <c:v>POTATOES</c:v>
                </c:pt>
                <c:pt idx="23">
                  <c:v>CANE SUGAR</c:v>
                </c:pt>
                <c:pt idx="24">
                  <c:v>WHEAT</c:v>
                </c:pt>
              </c:strCache>
            </c:strRef>
          </c:cat>
          <c:val>
            <c:numRef>
              <c:f>'TABLES AND GRAPHS'!$AI$36:$AI$60</c:f>
              <c:numCache>
                <c:formatCode>General</c:formatCode>
                <c:ptCount val="25"/>
                <c:pt idx="0">
                  <c:v>17000</c:v>
                </c:pt>
                <c:pt idx="1">
                  <c:v>16000</c:v>
                </c:pt>
                <c:pt idx="2">
                  <c:v>7000</c:v>
                </c:pt>
                <c:pt idx="3">
                  <c:v>5200</c:v>
                </c:pt>
                <c:pt idx="4">
                  <c:v>4500</c:v>
                </c:pt>
                <c:pt idx="5">
                  <c:v>4200</c:v>
                </c:pt>
                <c:pt idx="6">
                  <c:v>4000</c:v>
                </c:pt>
                <c:pt idx="7">
                  <c:v>4000</c:v>
                </c:pt>
                <c:pt idx="8">
                  <c:v>1300</c:v>
                </c:pt>
                <c:pt idx="10">
                  <c:v>510</c:v>
                </c:pt>
                <c:pt idx="11">
                  <c:v>3500</c:v>
                </c:pt>
                <c:pt idx="12">
                  <c:v>380</c:v>
                </c:pt>
                <c:pt idx="13">
                  <c:v>3500</c:v>
                </c:pt>
                <c:pt idx="14">
                  <c:v>880</c:v>
                </c:pt>
                <c:pt idx="15">
                  <c:v>500</c:v>
                </c:pt>
                <c:pt idx="16">
                  <c:v>450</c:v>
                </c:pt>
                <c:pt idx="17">
                  <c:v>800</c:v>
                </c:pt>
                <c:pt idx="18">
                  <c:v>500</c:v>
                </c:pt>
                <c:pt idx="19">
                  <c:v>100</c:v>
                </c:pt>
                <c:pt idx="20">
                  <c:v>400</c:v>
                </c:pt>
                <c:pt idx="21">
                  <c:v>1050</c:v>
                </c:pt>
                <c:pt idx="22">
                  <c:v>230</c:v>
                </c:pt>
                <c:pt idx="23">
                  <c:v>90</c:v>
                </c:pt>
                <c:pt idx="24">
                  <c:v>516</c:v>
                </c:pt>
              </c:numCache>
            </c:numRef>
          </c:val>
          <c:extLst>
            <c:ext xmlns:c16="http://schemas.microsoft.com/office/drawing/2014/chart" uri="{C3380CC4-5D6E-409C-BE32-E72D297353CC}">
              <c16:uniqueId val="{00000002-F6B7-462F-91DE-F27E26164CC5}"/>
            </c:ext>
          </c:extLst>
        </c:ser>
        <c:dLbls>
          <c:showLegendKey val="0"/>
          <c:showVal val="0"/>
          <c:showCatName val="0"/>
          <c:showSerName val="0"/>
          <c:showPercent val="0"/>
          <c:showBubbleSize val="0"/>
        </c:dLbls>
        <c:gapWidth val="100"/>
        <c:axId val="714603536"/>
        <c:axId val="714605504"/>
        <c:extLst>
          <c:ext xmlns:c15="http://schemas.microsoft.com/office/drawing/2012/chart" uri="{02D57815-91ED-43cb-92C2-25804820EDAC}">
            <c15:filteredBarSeries>
              <c15:ser>
                <c:idx val="1"/>
                <c:order val="1"/>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extLst>
                      <c:ext uri="{02D57815-91ED-43cb-92C2-25804820EDAC}">
                        <c15:formulaRef>
                          <c15:sqref>'TABLES AND GRAPHS'!$AF$36:$AF$60</c15:sqref>
                        </c15:formulaRef>
                      </c:ext>
                    </c:extLst>
                    <c:strCache>
                      <c:ptCount val="25"/>
                      <c:pt idx="0">
                        <c:v>SHEEP MEAT </c:v>
                      </c:pt>
                      <c:pt idx="1">
                        <c:v>BEEF</c:v>
                      </c:pt>
                      <c:pt idx="2">
                        <c:v>Milk products</c:v>
                      </c:pt>
                      <c:pt idx="3">
                        <c:v>EGGS</c:v>
                      </c:pt>
                      <c:pt idx="4">
                        <c:v>PIG MEAT</c:v>
                      </c:pt>
                      <c:pt idx="5">
                        <c:v>POULTRY</c:v>
                      </c:pt>
                      <c:pt idx="6">
                        <c:v>FARMED FISH</c:v>
                      </c:pt>
                      <c:pt idx="7">
                        <c:v>WILD FISH</c:v>
                      </c:pt>
                      <c:pt idx="8">
                        <c:v>Milk</c:v>
                      </c:pt>
                      <c:pt idx="10">
                        <c:v>LEGUMES</c:v>
                      </c:pt>
                      <c:pt idx="11">
                        <c:v>PROTECTED CROPS</c:v>
                      </c:pt>
                      <c:pt idx="12">
                        <c:v>OTHER CEREALS</c:v>
                      </c:pt>
                      <c:pt idx="13">
                        <c:v>PADDY RICE</c:v>
                      </c:pt>
                      <c:pt idx="14">
                        <c:v>NUTS</c:v>
                      </c:pt>
                      <c:pt idx="15">
                        <c:v>FIELD VEG</c:v>
                      </c:pt>
                      <c:pt idx="16">
                        <c:v>MAIZE</c:v>
                      </c:pt>
                      <c:pt idx="17">
                        <c:v>IMPORTED  OILSEEDS</c:v>
                      </c:pt>
                      <c:pt idx="18">
                        <c:v>FRUIT</c:v>
                      </c:pt>
                      <c:pt idx="19">
                        <c:v>SUGAR BEET</c:v>
                      </c:pt>
                      <c:pt idx="20">
                        <c:v>BARLEY</c:v>
                      </c:pt>
                      <c:pt idx="21">
                        <c:v>OILSEEDS</c:v>
                      </c:pt>
                      <c:pt idx="22">
                        <c:v>POTATOES</c:v>
                      </c:pt>
                      <c:pt idx="23">
                        <c:v>CANE SUGAR</c:v>
                      </c:pt>
                      <c:pt idx="24">
                        <c:v>WHEAT</c:v>
                      </c:pt>
                    </c:strCache>
                  </c:strRef>
                </c:cat>
                <c:val>
                  <c:numRef>
                    <c:extLst>
                      <c:ext uri="{02D57815-91ED-43cb-92C2-25804820EDAC}">
                        <c15:formulaRef>
                          <c15:sqref>'TABLES AND GRAPHS'!$AH$36:$AH$60</c15:sqref>
                        </c15:formulaRef>
                      </c:ext>
                    </c:extLst>
                    <c:numCache>
                      <c:formatCode>General</c:formatCode>
                      <c:ptCount val="25"/>
                    </c:numCache>
                  </c:numRef>
                </c:val>
                <c:extLst>
                  <c:ext xmlns:c16="http://schemas.microsoft.com/office/drawing/2014/chart" uri="{C3380CC4-5D6E-409C-BE32-E72D297353CC}">
                    <c16:uniqueId val="{00000001-F6B7-462F-91DE-F27E26164CC5}"/>
                  </c:ext>
                </c:extLst>
              </c15:ser>
            </c15:filteredBarSeries>
          </c:ext>
        </c:extLst>
      </c:barChart>
      <c:catAx>
        <c:axId val="714603536"/>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714605504"/>
        <c:crosses val="autoZero"/>
        <c:auto val="1"/>
        <c:lblAlgn val="ctr"/>
        <c:lblOffset val="100"/>
        <c:noMultiLvlLbl val="0"/>
      </c:catAx>
      <c:valAx>
        <c:axId val="714605504"/>
        <c:scaling>
          <c:orientation val="minMax"/>
        </c:scaling>
        <c:delete val="0"/>
        <c:axPos val="b"/>
        <c:majorGridlines>
          <c:spPr>
            <a:ln w="9525" cap="flat" cmpd="sng" algn="ctr">
              <a:solidFill>
                <a:schemeClr val="tx2">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kg CO2e/kg, kt production</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714603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GB"/>
              <a:t>Production</a:t>
            </a:r>
          </a:p>
        </c:rich>
      </c:tx>
      <c:layout>
        <c:manualLayout>
          <c:xMode val="edge"/>
          <c:yMode val="edge"/>
          <c:x val="0.66611807911362853"/>
          <c:y val="0.11134297867938921"/>
        </c:manualLayout>
      </c:layout>
      <c:overlay val="1"/>
    </c:title>
    <c:autoTitleDeleted val="0"/>
    <c:plotArea>
      <c:layout/>
      <c:barChart>
        <c:barDir val="col"/>
        <c:grouping val="stacked"/>
        <c:varyColors val="0"/>
        <c:ser>
          <c:idx val="0"/>
          <c:order val="0"/>
          <c:tx>
            <c:strRef>
              <c:f>'[1]MASTER SHEET'!$C$45</c:f>
              <c:strCache>
                <c:ptCount val="1"/>
                <c:pt idx="0">
                  <c:v>UK Production</c:v>
                </c:pt>
              </c:strCache>
            </c:strRef>
          </c:tx>
          <c:invertIfNegative val="0"/>
          <c:cat>
            <c:strRef>
              <c:f>'[1]MASTER SHEET'!$B$46:$B$47</c:f>
              <c:strCache>
                <c:ptCount val="2"/>
                <c:pt idx="0">
                  <c:v>Crops</c:v>
                </c:pt>
                <c:pt idx="1">
                  <c:v>Livestock</c:v>
                </c:pt>
              </c:strCache>
            </c:strRef>
          </c:cat>
          <c:val>
            <c:numRef>
              <c:f>'[1]MASTER SHEET'!$C$46:$C$47</c:f>
              <c:numCache>
                <c:formatCode>General</c:formatCode>
                <c:ptCount val="2"/>
                <c:pt idx="0">
                  <c:v>42950</c:v>
                </c:pt>
                <c:pt idx="1">
                  <c:v>6100</c:v>
                </c:pt>
              </c:numCache>
            </c:numRef>
          </c:val>
          <c:extLst>
            <c:ext xmlns:c16="http://schemas.microsoft.com/office/drawing/2014/chart" uri="{C3380CC4-5D6E-409C-BE32-E72D297353CC}">
              <c16:uniqueId val="{00000000-64DC-4881-9163-5F1A2A2F8284}"/>
            </c:ext>
          </c:extLst>
        </c:ser>
        <c:ser>
          <c:idx val="1"/>
          <c:order val="1"/>
          <c:tx>
            <c:strRef>
              <c:f>'[1]MASTER SHEET'!$D$45</c:f>
              <c:strCache>
                <c:ptCount val="1"/>
                <c:pt idx="0">
                  <c:v>O/S Production</c:v>
                </c:pt>
              </c:strCache>
            </c:strRef>
          </c:tx>
          <c:invertIfNegative val="0"/>
          <c:cat>
            <c:strRef>
              <c:f>'[1]MASTER SHEET'!$B$46:$B$47</c:f>
              <c:strCache>
                <c:ptCount val="2"/>
                <c:pt idx="0">
                  <c:v>Crops</c:v>
                </c:pt>
                <c:pt idx="1">
                  <c:v>Livestock</c:v>
                </c:pt>
              </c:strCache>
            </c:strRef>
          </c:cat>
          <c:val>
            <c:numRef>
              <c:f>'[1]MASTER SHEET'!$D$46:$D$47</c:f>
              <c:numCache>
                <c:formatCode>General</c:formatCode>
                <c:ptCount val="2"/>
                <c:pt idx="0">
                  <c:v>28294</c:v>
                </c:pt>
                <c:pt idx="1">
                  <c:v>1889</c:v>
                </c:pt>
              </c:numCache>
            </c:numRef>
          </c:val>
          <c:extLst>
            <c:ext xmlns:c16="http://schemas.microsoft.com/office/drawing/2014/chart" uri="{C3380CC4-5D6E-409C-BE32-E72D297353CC}">
              <c16:uniqueId val="{00000001-64DC-4881-9163-5F1A2A2F8284}"/>
            </c:ext>
          </c:extLst>
        </c:ser>
        <c:dLbls>
          <c:showLegendKey val="0"/>
          <c:showVal val="0"/>
          <c:showCatName val="0"/>
          <c:showSerName val="0"/>
          <c:showPercent val="0"/>
          <c:showBubbleSize val="0"/>
        </c:dLbls>
        <c:gapWidth val="150"/>
        <c:overlap val="100"/>
        <c:axId val="300053496"/>
        <c:axId val="1"/>
      </c:barChart>
      <c:catAx>
        <c:axId val="300053496"/>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kt fresh weight</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0005349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'[1]MASTER SHEET'!$AL$48</c:f>
              <c:strCache>
                <c:ptCount val="1"/>
                <c:pt idx="0">
                  <c:v>Crops</c:v>
                </c:pt>
              </c:strCache>
            </c:strRef>
          </c:tx>
          <c:invertIfNegative val="0"/>
          <c:cat>
            <c:strRef>
              <c:f>'[1]MASTER SHEET'!$AM$47:$AN$47</c:f>
              <c:strCache>
                <c:ptCount val="2"/>
                <c:pt idx="0">
                  <c:v>Production</c:v>
                </c:pt>
                <c:pt idx="1">
                  <c:v>Emissions</c:v>
                </c:pt>
              </c:strCache>
            </c:strRef>
          </c:cat>
          <c:val>
            <c:numRef>
              <c:f>'[1]MASTER SHEET'!$AM$48:$AN$48</c:f>
              <c:numCache>
                <c:formatCode>General</c:formatCode>
                <c:ptCount val="2"/>
                <c:pt idx="0">
                  <c:v>66471</c:v>
                </c:pt>
                <c:pt idx="1">
                  <c:v>15337</c:v>
                </c:pt>
              </c:numCache>
            </c:numRef>
          </c:val>
          <c:extLst>
            <c:ext xmlns:c16="http://schemas.microsoft.com/office/drawing/2014/chart" uri="{C3380CC4-5D6E-409C-BE32-E72D297353CC}">
              <c16:uniqueId val="{00000000-8A59-4E25-818E-EADFDE797DD2}"/>
            </c:ext>
          </c:extLst>
        </c:ser>
        <c:ser>
          <c:idx val="1"/>
          <c:order val="1"/>
          <c:tx>
            <c:strRef>
              <c:f>'[1]MASTER SHEET'!$AL$49</c:f>
              <c:strCache>
                <c:ptCount val="1"/>
                <c:pt idx="0">
                  <c:v>Livestock</c:v>
                </c:pt>
              </c:strCache>
            </c:strRef>
          </c:tx>
          <c:invertIfNegative val="0"/>
          <c:cat>
            <c:strRef>
              <c:f>'[1]MASTER SHEET'!$AM$47:$AN$47</c:f>
              <c:strCache>
                <c:ptCount val="2"/>
                <c:pt idx="0">
                  <c:v>Production</c:v>
                </c:pt>
                <c:pt idx="1">
                  <c:v>Emissions</c:v>
                </c:pt>
              </c:strCache>
            </c:strRef>
          </c:cat>
          <c:val>
            <c:numRef>
              <c:f>'[1]MASTER SHEET'!$AM$49:$AN$49</c:f>
              <c:numCache>
                <c:formatCode>General</c:formatCode>
                <c:ptCount val="2"/>
                <c:pt idx="0">
                  <c:v>3939</c:v>
                </c:pt>
                <c:pt idx="1">
                  <c:v>11287</c:v>
                </c:pt>
              </c:numCache>
            </c:numRef>
          </c:val>
          <c:extLst>
            <c:ext xmlns:c16="http://schemas.microsoft.com/office/drawing/2014/chart" uri="{C3380CC4-5D6E-409C-BE32-E72D297353CC}">
              <c16:uniqueId val="{00000001-8A59-4E25-818E-EADFDE797DD2}"/>
            </c:ext>
          </c:extLst>
        </c:ser>
        <c:dLbls>
          <c:showLegendKey val="0"/>
          <c:showVal val="0"/>
          <c:showCatName val="0"/>
          <c:showSerName val="0"/>
          <c:showPercent val="0"/>
          <c:showBubbleSize val="0"/>
        </c:dLbls>
        <c:gapWidth val="150"/>
        <c:overlap val="100"/>
        <c:axId val="300049888"/>
        <c:axId val="1"/>
      </c:barChart>
      <c:catAx>
        <c:axId val="30004988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00049888"/>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[1]CONDENSED!$N$54</c:f>
              <c:strCache>
                <c:ptCount val="1"/>
                <c:pt idx="0">
                  <c:v>Grazing UK</c:v>
                </c:pt>
              </c:strCache>
            </c:strRef>
          </c:tx>
          <c:invertIfNegative val="0"/>
          <c:cat>
            <c:strRef>
              <c:f>[1]CONDENSED!$M$55:$M$56</c:f>
              <c:strCache>
                <c:ptCount val="2"/>
                <c:pt idx="0">
                  <c:v>Crops</c:v>
                </c:pt>
                <c:pt idx="1">
                  <c:v>Livestock</c:v>
                </c:pt>
              </c:strCache>
            </c:strRef>
          </c:cat>
          <c:val>
            <c:numRef>
              <c:f>[1]CONDENSED!$N$55:$N$56</c:f>
              <c:numCache>
                <c:formatCode>General</c:formatCode>
                <c:ptCount val="2"/>
                <c:pt idx="1">
                  <c:v>11227</c:v>
                </c:pt>
              </c:numCache>
            </c:numRef>
          </c:val>
          <c:extLst>
            <c:ext xmlns:c16="http://schemas.microsoft.com/office/drawing/2014/chart" uri="{C3380CC4-5D6E-409C-BE32-E72D297353CC}">
              <c16:uniqueId val="{00000000-6B6D-48D6-895C-864CC2FB07FA}"/>
            </c:ext>
          </c:extLst>
        </c:ser>
        <c:ser>
          <c:idx val="1"/>
          <c:order val="1"/>
          <c:tx>
            <c:strRef>
              <c:f>[1]CONDENSED!$O$54</c:f>
              <c:strCache>
                <c:ptCount val="1"/>
                <c:pt idx="0">
                  <c:v>Arable UK</c:v>
                </c:pt>
              </c:strCache>
            </c:strRef>
          </c:tx>
          <c:invertIfNegative val="0"/>
          <c:cat>
            <c:strRef>
              <c:f>[1]CONDENSED!$M$55:$M$56</c:f>
              <c:strCache>
                <c:ptCount val="2"/>
                <c:pt idx="0">
                  <c:v>Crops</c:v>
                </c:pt>
                <c:pt idx="1">
                  <c:v>Livestock</c:v>
                </c:pt>
              </c:strCache>
            </c:strRef>
          </c:cat>
          <c:val>
            <c:numRef>
              <c:f>[1]CONDENSED!$O$55:$O$56</c:f>
              <c:numCache>
                <c:formatCode>General</c:formatCode>
                <c:ptCount val="2"/>
                <c:pt idx="0">
                  <c:v>3328</c:v>
                </c:pt>
                <c:pt idx="1">
                  <c:v>1488</c:v>
                </c:pt>
              </c:numCache>
            </c:numRef>
          </c:val>
          <c:extLst>
            <c:ext xmlns:c16="http://schemas.microsoft.com/office/drawing/2014/chart" uri="{C3380CC4-5D6E-409C-BE32-E72D297353CC}">
              <c16:uniqueId val="{00000001-6B6D-48D6-895C-864CC2FB07FA}"/>
            </c:ext>
          </c:extLst>
        </c:ser>
        <c:ser>
          <c:idx val="2"/>
          <c:order val="2"/>
          <c:tx>
            <c:strRef>
              <c:f>[1]CONDENSED!$P$54</c:f>
              <c:strCache>
                <c:ptCount val="1"/>
                <c:pt idx="0">
                  <c:v>Arable O/S</c:v>
                </c:pt>
              </c:strCache>
            </c:strRef>
          </c:tx>
          <c:invertIfNegative val="0"/>
          <c:cat>
            <c:strRef>
              <c:f>[1]CONDENSED!$M$55:$M$56</c:f>
              <c:strCache>
                <c:ptCount val="2"/>
                <c:pt idx="0">
                  <c:v>Crops</c:v>
                </c:pt>
                <c:pt idx="1">
                  <c:v>Livestock</c:v>
                </c:pt>
              </c:strCache>
            </c:strRef>
          </c:cat>
          <c:val>
            <c:numRef>
              <c:f>[1]CONDENSED!$P$55:$P$56</c:f>
              <c:numCache>
                <c:formatCode>General</c:formatCode>
                <c:ptCount val="2"/>
                <c:pt idx="0">
                  <c:v>1096</c:v>
                </c:pt>
                <c:pt idx="1">
                  <c:v>1730</c:v>
                </c:pt>
              </c:numCache>
            </c:numRef>
          </c:val>
          <c:extLst>
            <c:ext xmlns:c16="http://schemas.microsoft.com/office/drawing/2014/chart" uri="{C3380CC4-5D6E-409C-BE32-E72D297353CC}">
              <c16:uniqueId val="{00000002-6B6D-48D6-895C-864CC2FB07FA}"/>
            </c:ext>
          </c:extLst>
        </c:ser>
        <c:ser>
          <c:idx val="3"/>
          <c:order val="3"/>
          <c:tx>
            <c:strRef>
              <c:f>[1]CONDENSED!$Q$54</c:f>
              <c:strCache>
                <c:ptCount val="1"/>
                <c:pt idx="0">
                  <c:v>Grazing O/S</c:v>
                </c:pt>
              </c:strCache>
            </c:strRef>
          </c:tx>
          <c:invertIfNegative val="0"/>
          <c:cat>
            <c:strRef>
              <c:f>[1]CONDENSED!$M$55:$M$56</c:f>
              <c:strCache>
                <c:ptCount val="2"/>
                <c:pt idx="0">
                  <c:v>Crops</c:v>
                </c:pt>
                <c:pt idx="1">
                  <c:v>Livestock</c:v>
                </c:pt>
              </c:strCache>
            </c:strRef>
          </c:cat>
          <c:val>
            <c:numRef>
              <c:f>[1]CONDENSED!$Q$55:$Q$56</c:f>
              <c:numCache>
                <c:formatCode>General</c:formatCode>
                <c:ptCount val="2"/>
                <c:pt idx="1">
                  <c:v>620</c:v>
                </c:pt>
              </c:numCache>
            </c:numRef>
          </c:val>
          <c:extLst>
            <c:ext xmlns:c16="http://schemas.microsoft.com/office/drawing/2014/chart" uri="{C3380CC4-5D6E-409C-BE32-E72D297353CC}">
              <c16:uniqueId val="{00000003-6B6D-48D6-895C-864CC2FB07FA}"/>
            </c:ext>
          </c:extLst>
        </c:ser>
        <c:dLbls>
          <c:showLegendKey val="0"/>
          <c:showVal val="0"/>
          <c:showCatName val="0"/>
          <c:showSerName val="0"/>
          <c:showPercent val="0"/>
          <c:showBubbleSize val="0"/>
        </c:dLbls>
        <c:gapWidth val="150"/>
        <c:overlap val="100"/>
        <c:axId val="298101064"/>
        <c:axId val="1"/>
      </c:barChart>
      <c:catAx>
        <c:axId val="2981010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9810106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Calibri"/>
                <a:ea typeface="Calibri"/>
                <a:cs typeface="Calibri"/>
              </a:defRPr>
            </a:pPr>
            <a:r>
              <a:rPr lang="en-GB"/>
              <a:t>Category mix for present commodity input</a:t>
            </a:r>
          </a:p>
        </c:rich>
      </c:tx>
      <c:overlay val="0"/>
    </c:title>
    <c:autoTitleDeleted val="0"/>
    <c:plotArea>
      <c:layout/>
      <c:pieChart>
        <c:varyColors val="1"/>
        <c:ser>
          <c:idx val="0"/>
          <c:order val="0"/>
          <c:dPt>
            <c:idx val="0"/>
            <c:bubble3D val="0"/>
            <c:extLst>
              <c:ext xmlns:c16="http://schemas.microsoft.com/office/drawing/2014/chart" uri="{C3380CC4-5D6E-409C-BE32-E72D297353CC}">
                <c16:uniqueId val="{00000000-C84D-43F9-B065-6638BAF6214F}"/>
              </c:ext>
            </c:extLst>
          </c:dPt>
          <c:dPt>
            <c:idx val="1"/>
            <c:bubble3D val="0"/>
            <c:extLst>
              <c:ext xmlns:c16="http://schemas.microsoft.com/office/drawing/2014/chart" uri="{C3380CC4-5D6E-409C-BE32-E72D297353CC}">
                <c16:uniqueId val="{00000001-C84D-43F9-B065-6638BAF6214F}"/>
              </c:ext>
            </c:extLst>
          </c:dPt>
          <c:dPt>
            <c:idx val="2"/>
            <c:bubble3D val="0"/>
            <c:extLst>
              <c:ext xmlns:c16="http://schemas.microsoft.com/office/drawing/2014/chart" uri="{C3380CC4-5D6E-409C-BE32-E72D297353CC}">
                <c16:uniqueId val="{00000002-C84D-43F9-B065-6638BAF6214F}"/>
              </c:ext>
            </c:extLst>
          </c:dPt>
          <c:dPt>
            <c:idx val="3"/>
            <c:bubble3D val="0"/>
            <c:extLst>
              <c:ext xmlns:c16="http://schemas.microsoft.com/office/drawing/2014/chart" uri="{C3380CC4-5D6E-409C-BE32-E72D297353CC}">
                <c16:uniqueId val="{00000003-C84D-43F9-B065-6638BAF6214F}"/>
              </c:ext>
            </c:extLst>
          </c:dPt>
          <c:cat>
            <c:strRef>
              <c:f>[1]CONDENSED!$T$51:$T$54</c:f>
              <c:strCache>
                <c:ptCount val="4"/>
                <c:pt idx="0">
                  <c:v>High carbs</c:v>
                </c:pt>
                <c:pt idx="1">
                  <c:v>High energy</c:v>
                </c:pt>
                <c:pt idx="2">
                  <c:v>High Protein</c:v>
                </c:pt>
                <c:pt idx="3">
                  <c:v>High health</c:v>
                </c:pt>
              </c:strCache>
            </c:strRef>
          </c:cat>
          <c:val>
            <c:numRef>
              <c:f>[1]CONDENSED!$U$51:$U$54</c:f>
              <c:numCache>
                <c:formatCode>General</c:formatCode>
                <c:ptCount val="4"/>
                <c:pt idx="0">
                  <c:v>18147.047619047618</c:v>
                </c:pt>
                <c:pt idx="1">
                  <c:v>16874.661818181819</c:v>
                </c:pt>
                <c:pt idx="2">
                  <c:v>8989.7999999999993</c:v>
                </c:pt>
                <c:pt idx="3">
                  <c:v>15598.77966101695</c:v>
                </c:pt>
              </c:numCache>
            </c:numRef>
          </c:val>
          <c:extLst>
            <c:ext xmlns:c16="http://schemas.microsoft.com/office/drawing/2014/chart" uri="{C3380CC4-5D6E-409C-BE32-E72D297353CC}">
              <c16:uniqueId val="{00000004-C84D-43F9-B065-6638BAF6214F}"/>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val>
            <c:numRef>
              <c:f>'LAND USE'!$BH$11:$BH$42</c:f>
              <c:numCache>
                <c:formatCode>General</c:formatCode>
                <c:ptCount val="32"/>
                <c:pt idx="0">
                  <c:v>1000</c:v>
                </c:pt>
                <c:pt idx="1">
                  <c:v>321.98762286130324</c:v>
                </c:pt>
                <c:pt idx="2">
                  <c:v>55.529927007299264</c:v>
                </c:pt>
                <c:pt idx="3">
                  <c:v>122</c:v>
                </c:pt>
                <c:pt idx="4">
                  <c:v>532.45105148658456</c:v>
                </c:pt>
                <c:pt idx="5">
                  <c:v>83.365877020439584</c:v>
                </c:pt>
                <c:pt idx="6">
                  <c:v>163.80369505120117</c:v>
                </c:pt>
                <c:pt idx="7">
                  <c:v>38.988000000000007</c:v>
                </c:pt>
                <c:pt idx="8">
                  <c:v>37.112546125461257</c:v>
                </c:pt>
                <c:pt idx="9">
                  <c:v>601.49397590361446</c:v>
                </c:pt>
                <c:pt idx="10">
                  <c:v>208.47457627118646</c:v>
                </c:pt>
                <c:pt idx="11">
                  <c:v>12.864406779661017</c:v>
                </c:pt>
                <c:pt idx="12">
                  <c:v>50</c:v>
                </c:pt>
                <c:pt idx="13">
                  <c:v>0</c:v>
                </c:pt>
                <c:pt idx="14">
                  <c:v>185</c:v>
                </c:pt>
                <c:pt idx="15">
                  <c:v>130</c:v>
                </c:pt>
                <c:pt idx="16">
                  <c:v>370</c:v>
                </c:pt>
                <c:pt idx="17">
                  <c:v>80.16</c:v>
                </c:pt>
                <c:pt idx="18">
                  <c:v>196.48000000000002</c:v>
                </c:pt>
                <c:pt idx="19">
                  <c:v>153.57599999999999</c:v>
                </c:pt>
                <c:pt idx="20">
                  <c:v>137.5</c:v>
                </c:pt>
                <c:pt idx="21">
                  <c:v>150</c:v>
                </c:pt>
                <c:pt idx="22">
                  <c:v>0</c:v>
                </c:pt>
                <c:pt idx="23">
                  <c:v>0</c:v>
                </c:pt>
                <c:pt idx="24">
                  <c:v>2562.4395604395604</c:v>
                </c:pt>
                <c:pt idx="25">
                  <c:v>5321</c:v>
                </c:pt>
                <c:pt idx="26">
                  <c:v>5347</c:v>
                </c:pt>
                <c:pt idx="27">
                  <c:v>917</c:v>
                </c:pt>
                <c:pt idx="28">
                  <c:v>1100</c:v>
                </c:pt>
                <c:pt idx="29">
                  <c:v>242.99999999999997</c:v>
                </c:pt>
                <c:pt idx="30">
                  <c:v>0</c:v>
                </c:pt>
              </c:numCache>
            </c:numRef>
          </c:val>
          <c:extLst>
            <c:ext xmlns:c16="http://schemas.microsoft.com/office/drawing/2014/chart" uri="{C3380CC4-5D6E-409C-BE32-E72D297353CC}">
              <c16:uniqueId val="{00000000-F7CF-4BF7-9114-9B7AE9329358}"/>
            </c:ext>
          </c:extLst>
        </c:ser>
        <c:dLbls>
          <c:showLegendKey val="0"/>
          <c:showVal val="0"/>
          <c:showCatName val="0"/>
          <c:showSerName val="0"/>
          <c:showPercent val="0"/>
          <c:showBubbleSize val="0"/>
        </c:dLbls>
        <c:gapWidth val="219"/>
        <c:overlap val="-27"/>
        <c:axId val="779639264"/>
        <c:axId val="779644184"/>
      </c:barChart>
      <c:catAx>
        <c:axId val="779639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9644184"/>
        <c:crosses val="autoZero"/>
        <c:auto val="1"/>
        <c:lblAlgn val="ctr"/>
        <c:lblOffset val="100"/>
        <c:noMultiLvlLbl val="0"/>
      </c:catAx>
      <c:valAx>
        <c:axId val="7796441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9639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'LAND USE'!$BB$11:$BB$36</c:f>
              <c:strCache>
                <c:ptCount val="22"/>
                <c:pt idx="0">
                  <c:v>Wheat</c:v>
                </c:pt>
                <c:pt idx="1">
                  <c:v>Rice</c:v>
                </c:pt>
                <c:pt idx="2">
                  <c:v>Misc. cereals</c:v>
                </c:pt>
                <c:pt idx="3">
                  <c:v>Potatoes</c:v>
                </c:pt>
                <c:pt idx="4">
                  <c:v>Veg UK</c:v>
                </c:pt>
                <c:pt idx="5">
                  <c:v>Import Veg</c:v>
                </c:pt>
                <c:pt idx="6">
                  <c:v>Fruit UK</c:v>
                </c:pt>
                <c:pt idx="7">
                  <c:v>Import fruit</c:v>
                </c:pt>
                <c:pt idx="8">
                  <c:v>Dairy </c:v>
                </c:pt>
                <c:pt idx="9">
                  <c:v>Soya</c:v>
                </c:pt>
                <c:pt idx="10">
                  <c:v>Eggs</c:v>
                </c:pt>
                <c:pt idx="11">
                  <c:v>Beef</c:v>
                </c:pt>
                <c:pt idx="12">
                  <c:v>Sheep</c:v>
                </c:pt>
                <c:pt idx="13">
                  <c:v>Pig</c:v>
                </c:pt>
                <c:pt idx="14">
                  <c:v>Poultry</c:v>
                </c:pt>
                <c:pt idx="15">
                  <c:v>Offal</c:v>
                </c:pt>
                <c:pt idx="16">
                  <c:v>Beans and legumes</c:v>
                </c:pt>
                <c:pt idx="17">
                  <c:v>Nuts and seeds</c:v>
                </c:pt>
                <c:pt idx="18">
                  <c:v>Sugar</c:v>
                </c:pt>
                <c:pt idx="19">
                  <c:v>Oil</c:v>
                </c:pt>
                <c:pt idx="20">
                  <c:v>Cocoa</c:v>
                </c:pt>
                <c:pt idx="21">
                  <c:v>Grapes</c:v>
                </c:pt>
              </c:strCache>
            </c:strRef>
          </c:cat>
          <c:val>
            <c:numRef>
              <c:f>'LAND USE'!$BC$11:$BC$36</c:f>
              <c:numCache>
                <c:formatCode>0</c:formatCode>
                <c:ptCount val="26"/>
                <c:pt idx="0">
                  <c:v>7226428</c:v>
                </c:pt>
                <c:pt idx="1">
                  <c:v>1012285</c:v>
                </c:pt>
                <c:pt idx="2">
                  <c:v>3224537</c:v>
                </c:pt>
                <c:pt idx="3">
                  <c:v>4275327</c:v>
                </c:pt>
                <c:pt idx="4">
                  <c:v>17668971</c:v>
                </c:pt>
                <c:pt idx="5">
                  <c:v>492944</c:v>
                </c:pt>
                <c:pt idx="6">
                  <c:v>11254020</c:v>
                </c:pt>
                <c:pt idx="7">
                  <c:v>1449929</c:v>
                </c:pt>
                <c:pt idx="8">
                  <c:v>5489463</c:v>
                </c:pt>
                <c:pt idx="9">
                  <c:v>1469992</c:v>
                </c:pt>
                <c:pt idx="10">
                  <c:v>746738</c:v>
                </c:pt>
                <c:pt idx="11">
                  <c:v>172522</c:v>
                </c:pt>
                <c:pt idx="12">
                  <c:v>82181</c:v>
                </c:pt>
                <c:pt idx="13">
                  <c:v>557703</c:v>
                </c:pt>
                <c:pt idx="14">
                  <c:v>907075</c:v>
                </c:pt>
                <c:pt idx="15">
                  <c:v>61595</c:v>
                </c:pt>
                <c:pt idx="16">
                  <c:v>481647</c:v>
                </c:pt>
                <c:pt idx="17">
                  <c:v>1193720</c:v>
                </c:pt>
                <c:pt idx="18">
                  <c:v>3133708</c:v>
                </c:pt>
                <c:pt idx="19">
                  <c:v>576699</c:v>
                </c:pt>
                <c:pt idx="20">
                  <c:v>45933</c:v>
                </c:pt>
                <c:pt idx="21">
                  <c:v>165294</c:v>
                </c:pt>
              </c:numCache>
            </c:numRef>
          </c:val>
          <c:extLst>
            <c:ext xmlns:c16="http://schemas.microsoft.com/office/drawing/2014/chart" uri="{C3380CC4-5D6E-409C-BE32-E72D297353CC}">
              <c16:uniqueId val="{00000000-CEAF-469D-A506-4DA39BE43BE8}"/>
            </c:ext>
          </c:extLst>
        </c:ser>
        <c:ser>
          <c:idx val="1"/>
          <c:order val="1"/>
          <c:spPr>
            <a:solidFill>
              <a:schemeClr val="accent2"/>
            </a:solidFill>
            <a:ln>
              <a:noFill/>
            </a:ln>
            <a:effectLst/>
          </c:spPr>
          <c:invertIfNegative val="0"/>
          <c:cat>
            <c:strRef>
              <c:f>'LAND USE'!$BB$11:$BB$36</c:f>
              <c:strCache>
                <c:ptCount val="22"/>
                <c:pt idx="0">
                  <c:v>Wheat</c:v>
                </c:pt>
                <c:pt idx="1">
                  <c:v>Rice</c:v>
                </c:pt>
                <c:pt idx="2">
                  <c:v>Misc. cereals</c:v>
                </c:pt>
                <c:pt idx="3">
                  <c:v>Potatoes</c:v>
                </c:pt>
                <c:pt idx="4">
                  <c:v>Veg UK</c:v>
                </c:pt>
                <c:pt idx="5">
                  <c:v>Import Veg</c:v>
                </c:pt>
                <c:pt idx="6">
                  <c:v>Fruit UK</c:v>
                </c:pt>
                <c:pt idx="7">
                  <c:v>Import fruit</c:v>
                </c:pt>
                <c:pt idx="8">
                  <c:v>Dairy </c:v>
                </c:pt>
                <c:pt idx="9">
                  <c:v>Soya</c:v>
                </c:pt>
                <c:pt idx="10">
                  <c:v>Eggs</c:v>
                </c:pt>
                <c:pt idx="11">
                  <c:v>Beef</c:v>
                </c:pt>
                <c:pt idx="12">
                  <c:v>Sheep</c:v>
                </c:pt>
                <c:pt idx="13">
                  <c:v>Pig</c:v>
                </c:pt>
                <c:pt idx="14">
                  <c:v>Poultry</c:v>
                </c:pt>
                <c:pt idx="15">
                  <c:v>Offal</c:v>
                </c:pt>
                <c:pt idx="16">
                  <c:v>Beans and legumes</c:v>
                </c:pt>
                <c:pt idx="17">
                  <c:v>Nuts and seeds</c:v>
                </c:pt>
                <c:pt idx="18">
                  <c:v>Sugar</c:v>
                </c:pt>
                <c:pt idx="19">
                  <c:v>Oil</c:v>
                </c:pt>
                <c:pt idx="20">
                  <c:v>Cocoa</c:v>
                </c:pt>
                <c:pt idx="21">
                  <c:v>Grapes</c:v>
                </c:pt>
              </c:strCache>
            </c:strRef>
          </c:cat>
          <c:val>
            <c:numRef>
              <c:f>'LAND USE'!$BD$11:$BD$36</c:f>
              <c:numCache>
                <c:formatCode>0</c:formatCode>
                <c:ptCount val="26"/>
                <c:pt idx="0">
                  <c:v>7226.4279999999999</c:v>
                </c:pt>
                <c:pt idx="1">
                  <c:v>1012.285</c:v>
                </c:pt>
                <c:pt idx="2">
                  <c:v>3224.5369999999998</c:v>
                </c:pt>
                <c:pt idx="3">
                  <c:v>4275.3270000000002</c:v>
                </c:pt>
                <c:pt idx="4">
                  <c:v>17668.971000000001</c:v>
                </c:pt>
                <c:pt idx="5">
                  <c:v>492.94400000000002</c:v>
                </c:pt>
                <c:pt idx="6">
                  <c:v>11254.02</c:v>
                </c:pt>
                <c:pt idx="7">
                  <c:v>1449.9290000000001</c:v>
                </c:pt>
                <c:pt idx="8">
                  <c:v>5489.4629999999997</c:v>
                </c:pt>
                <c:pt idx="9">
                  <c:v>1469.992</c:v>
                </c:pt>
                <c:pt idx="10">
                  <c:v>746.73800000000006</c:v>
                </c:pt>
                <c:pt idx="11">
                  <c:v>172.52199999999999</c:v>
                </c:pt>
                <c:pt idx="12">
                  <c:v>82.180999999999997</c:v>
                </c:pt>
                <c:pt idx="13">
                  <c:v>557.70299999999997</c:v>
                </c:pt>
                <c:pt idx="14">
                  <c:v>907.07500000000005</c:v>
                </c:pt>
                <c:pt idx="15">
                  <c:v>61.594999999999999</c:v>
                </c:pt>
                <c:pt idx="16">
                  <c:v>481.64699999999999</c:v>
                </c:pt>
                <c:pt idx="17">
                  <c:v>1193.72</c:v>
                </c:pt>
                <c:pt idx="18">
                  <c:v>3133.7080000000001</c:v>
                </c:pt>
                <c:pt idx="19">
                  <c:v>576.69899999999996</c:v>
                </c:pt>
                <c:pt idx="20">
                  <c:v>45.933</c:v>
                </c:pt>
                <c:pt idx="21">
                  <c:v>165.29400000000001</c:v>
                </c:pt>
              </c:numCache>
            </c:numRef>
          </c:val>
          <c:extLst>
            <c:ext xmlns:c16="http://schemas.microsoft.com/office/drawing/2014/chart" uri="{C3380CC4-5D6E-409C-BE32-E72D297353CC}">
              <c16:uniqueId val="{00000001-CEAF-469D-A506-4DA39BE43BE8}"/>
            </c:ext>
          </c:extLst>
        </c:ser>
        <c:dLbls>
          <c:showLegendKey val="0"/>
          <c:showVal val="0"/>
          <c:showCatName val="0"/>
          <c:showSerName val="0"/>
          <c:showPercent val="0"/>
          <c:showBubbleSize val="0"/>
        </c:dLbls>
        <c:gapWidth val="219"/>
        <c:overlap val="-27"/>
        <c:axId val="625043448"/>
        <c:axId val="625044760"/>
      </c:barChart>
      <c:catAx>
        <c:axId val="625043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5044760"/>
        <c:crosses val="autoZero"/>
        <c:auto val="1"/>
        <c:lblAlgn val="ctr"/>
        <c:lblOffset val="100"/>
        <c:noMultiLvlLbl val="0"/>
      </c:catAx>
      <c:valAx>
        <c:axId val="6250447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5043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100" b="1" i="0" u="none" strike="noStrike" baseline="0">
                <a:solidFill>
                  <a:srgbClr val="000000"/>
                </a:solidFill>
                <a:latin typeface="Calibri"/>
              </a:rPr>
              <a:t>UK GHG Emissions</a:t>
            </a:r>
          </a:p>
          <a:p>
            <a:pPr>
              <a:defRPr sz="1000" b="0" i="0" u="none" strike="noStrike" baseline="0">
                <a:solidFill>
                  <a:srgbClr val="000000"/>
                </a:solidFill>
                <a:latin typeface="Calibri"/>
                <a:ea typeface="Calibri"/>
                <a:cs typeface="Calibri"/>
              </a:defRPr>
            </a:pPr>
            <a:r>
              <a:rPr lang="en-GB" sz="1100" b="1" i="0" u="none" strike="noStrike" baseline="0">
                <a:solidFill>
                  <a:srgbClr val="000000"/>
                </a:solidFill>
                <a:latin typeface="Calibri"/>
              </a:rPr>
              <a:t> from the food system, </a:t>
            </a:r>
          </a:p>
          <a:p>
            <a:pPr>
              <a:defRPr sz="1000" b="0" i="0" u="none" strike="noStrike" baseline="0">
                <a:solidFill>
                  <a:srgbClr val="000000"/>
                </a:solidFill>
                <a:latin typeface="Calibri"/>
                <a:ea typeface="Calibri"/>
                <a:cs typeface="Calibri"/>
              </a:defRPr>
            </a:pPr>
            <a:r>
              <a:rPr lang="en-GB" sz="1100" b="1" i="0" u="none" strike="noStrike" baseline="0">
                <a:solidFill>
                  <a:srgbClr val="000000"/>
                </a:solidFill>
                <a:latin typeface="Calibri"/>
              </a:rPr>
              <a:t>before and after </a:t>
            </a:r>
          </a:p>
          <a:p>
            <a:pPr>
              <a:defRPr sz="1000" b="0" i="0" u="none" strike="noStrike" baseline="0">
                <a:solidFill>
                  <a:srgbClr val="000000"/>
                </a:solidFill>
                <a:latin typeface="Calibri"/>
                <a:ea typeface="Calibri"/>
                <a:cs typeface="Calibri"/>
              </a:defRPr>
            </a:pPr>
            <a:r>
              <a:rPr lang="en-GB" sz="1100" b="1" i="0" u="none" strike="noStrike" baseline="0">
                <a:solidFill>
                  <a:srgbClr val="000000"/>
                </a:solidFill>
                <a:latin typeface="Calibri"/>
              </a:rPr>
              <a:t>decarbonisation.</a:t>
            </a:r>
          </a:p>
          <a:p>
            <a:pPr>
              <a:defRPr sz="1000" b="0" i="0" u="none" strike="noStrike" baseline="0">
                <a:solidFill>
                  <a:srgbClr val="000000"/>
                </a:solidFill>
                <a:latin typeface="Calibri"/>
                <a:ea typeface="Calibri"/>
                <a:cs typeface="Calibri"/>
              </a:defRPr>
            </a:pPr>
            <a:r>
              <a:rPr lang="en-GB" sz="1100" b="1" i="0" u="none" strike="noStrike" baseline="0">
                <a:solidFill>
                  <a:srgbClr val="000000"/>
                </a:solidFill>
                <a:latin typeface="Calibri"/>
              </a:rPr>
              <a:t>From 152MtCO2e </a:t>
            </a:r>
          </a:p>
          <a:p>
            <a:pPr>
              <a:defRPr sz="1000" b="0" i="0" u="none" strike="noStrike" baseline="0">
                <a:solidFill>
                  <a:srgbClr val="000000"/>
                </a:solidFill>
                <a:latin typeface="Calibri"/>
                <a:ea typeface="Calibri"/>
                <a:cs typeface="Calibri"/>
              </a:defRPr>
            </a:pPr>
            <a:r>
              <a:rPr lang="en-GB" sz="1100" b="1" i="0" u="none" strike="noStrike" baseline="0">
                <a:solidFill>
                  <a:srgbClr val="000000"/>
                </a:solidFill>
                <a:latin typeface="Calibri"/>
              </a:rPr>
              <a:t>to 17MtCO2e</a:t>
            </a:r>
          </a:p>
        </c:rich>
      </c:tx>
      <c:layout>
        <c:manualLayout>
          <c:xMode val="edge"/>
          <c:yMode val="edge"/>
          <c:x val="0.65306255468066488"/>
          <c:y val="0.11358026992188107"/>
        </c:manualLayout>
      </c:layout>
      <c:overlay val="1"/>
    </c:title>
    <c:autoTitleDeleted val="0"/>
    <c:plotArea>
      <c:layout>
        <c:manualLayout>
          <c:layoutTarget val="inner"/>
          <c:xMode val="edge"/>
          <c:yMode val="edge"/>
          <c:x val="4.2889107611548564E-2"/>
          <c:y val="1.8518518518518517E-2"/>
          <c:w val="0.55833333333333335"/>
          <c:h val="0.93055555555555558"/>
        </c:manualLayout>
      </c:layout>
      <c:pieChart>
        <c:varyColors val="1"/>
        <c:ser>
          <c:idx val="0"/>
          <c:order val="0"/>
          <c:spPr>
            <a:ln>
              <a:solidFill>
                <a:schemeClr val="tx1"/>
              </a:solidFill>
            </a:ln>
          </c:spPr>
          <c:dPt>
            <c:idx val="0"/>
            <c:bubble3D val="0"/>
            <c:explosion val="12"/>
            <c:spPr>
              <a:solidFill>
                <a:srgbClr val="00FF00"/>
              </a:solidFill>
              <a:ln>
                <a:solidFill>
                  <a:schemeClr val="tx1"/>
                </a:solidFill>
              </a:ln>
            </c:spPr>
            <c:extLst>
              <c:ext xmlns:c16="http://schemas.microsoft.com/office/drawing/2014/chart" uri="{C3380CC4-5D6E-409C-BE32-E72D297353CC}">
                <c16:uniqueId val="{00000000-6308-4731-B2D0-17253E314507}"/>
              </c:ext>
            </c:extLst>
          </c:dPt>
          <c:dPt>
            <c:idx val="1"/>
            <c:bubble3D val="0"/>
            <c:spPr>
              <a:solidFill>
                <a:schemeClr val="accent3">
                  <a:lumMod val="75000"/>
                </a:schemeClr>
              </a:solidFill>
              <a:ln>
                <a:solidFill>
                  <a:schemeClr val="tx1"/>
                </a:solidFill>
              </a:ln>
            </c:spPr>
            <c:extLst>
              <c:ext xmlns:c16="http://schemas.microsoft.com/office/drawing/2014/chart" uri="{C3380CC4-5D6E-409C-BE32-E72D297353CC}">
                <c16:uniqueId val="{00000001-6308-4731-B2D0-17253E314507}"/>
              </c:ext>
            </c:extLst>
          </c:dPt>
          <c:dPt>
            <c:idx val="2"/>
            <c:bubble3D val="0"/>
            <c:spPr>
              <a:solidFill>
                <a:srgbClr val="C00000"/>
              </a:solidFill>
              <a:ln>
                <a:solidFill>
                  <a:schemeClr val="tx1"/>
                </a:solidFill>
              </a:ln>
            </c:spPr>
            <c:extLst>
              <c:ext xmlns:c16="http://schemas.microsoft.com/office/drawing/2014/chart" uri="{C3380CC4-5D6E-409C-BE32-E72D297353CC}">
                <c16:uniqueId val="{00000002-6308-4731-B2D0-17253E314507}"/>
              </c:ext>
            </c:extLst>
          </c:dPt>
          <c:dPt>
            <c:idx val="3"/>
            <c:bubble3D val="0"/>
            <c:spPr>
              <a:solidFill>
                <a:schemeClr val="accent3">
                  <a:lumMod val="60000"/>
                  <a:lumOff val="40000"/>
                </a:schemeClr>
              </a:solidFill>
              <a:ln>
                <a:solidFill>
                  <a:schemeClr val="tx1"/>
                </a:solidFill>
              </a:ln>
            </c:spPr>
            <c:extLst>
              <c:ext xmlns:c16="http://schemas.microsoft.com/office/drawing/2014/chart" uri="{C3380CC4-5D6E-409C-BE32-E72D297353CC}">
                <c16:uniqueId val="{00000003-6308-4731-B2D0-17253E314507}"/>
              </c:ext>
            </c:extLst>
          </c:dPt>
          <c:dPt>
            <c:idx val="4"/>
            <c:bubble3D val="0"/>
            <c:explosion val="12"/>
            <c:spPr>
              <a:solidFill>
                <a:schemeClr val="accent3">
                  <a:lumMod val="50000"/>
                </a:schemeClr>
              </a:solidFill>
              <a:ln>
                <a:solidFill>
                  <a:schemeClr val="tx1"/>
                </a:solidFill>
              </a:ln>
            </c:spPr>
            <c:extLst>
              <c:ext xmlns:c16="http://schemas.microsoft.com/office/drawing/2014/chart" uri="{C3380CC4-5D6E-409C-BE32-E72D297353CC}">
                <c16:uniqueId val="{00000004-6308-4731-B2D0-17253E314507}"/>
              </c:ext>
            </c:extLst>
          </c:dPt>
          <c:dLbls>
            <c:spPr>
              <a:noFill/>
              <a:ln>
                <a:noFill/>
              </a:ln>
              <a:effectLst/>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0"/>
            <c:showBubbleSize val="0"/>
            <c:showLeaderLines val="1"/>
            <c:extLst>
              <c:ext xmlns:c15="http://schemas.microsoft.com/office/drawing/2012/chart" uri="{CE6537A1-D6FC-4f65-9D91-7224C49458BB}"/>
            </c:extLst>
          </c:dLbls>
          <c:cat>
            <c:strRef>
              <c:f>'TABLES AND GRAPHS'!$G$6:$G$10</c:f>
              <c:strCache>
                <c:ptCount val="5"/>
                <c:pt idx="0">
                  <c:v>UK agriculture emissions after 2030</c:v>
                </c:pt>
                <c:pt idx="1">
                  <c:v>UK agriculture now</c:v>
                </c:pt>
                <c:pt idx="2">
                  <c:v>Food processing</c:v>
                </c:pt>
                <c:pt idx="3">
                  <c:v>Imports now</c:v>
                </c:pt>
                <c:pt idx="4">
                  <c:v>Imports after 2030</c:v>
                </c:pt>
              </c:strCache>
            </c:strRef>
          </c:cat>
          <c:val>
            <c:numRef>
              <c:f>'TABLES AND GRAPHS'!$H$6:$H$10</c:f>
              <c:numCache>
                <c:formatCode>General</c:formatCode>
                <c:ptCount val="5"/>
                <c:pt idx="0">
                  <c:v>13</c:v>
                </c:pt>
                <c:pt idx="1">
                  <c:v>50</c:v>
                </c:pt>
                <c:pt idx="2">
                  <c:v>59.6</c:v>
                </c:pt>
                <c:pt idx="3">
                  <c:v>26.4</c:v>
                </c:pt>
                <c:pt idx="4">
                  <c:v>2.6</c:v>
                </c:pt>
              </c:numCache>
            </c:numRef>
          </c:val>
          <c:extLst>
            <c:ext xmlns:c16="http://schemas.microsoft.com/office/drawing/2014/chart" uri="{C3380CC4-5D6E-409C-BE32-E72D297353CC}">
              <c16:uniqueId val="{00000005-6308-4731-B2D0-17253E31450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7744488188976371"/>
          <c:y val="0.49943841339359207"/>
          <c:w val="0.28644400699912509"/>
          <c:h val="0.44866203854695685"/>
        </c:manualLayout>
      </c:layout>
      <c:overlay val="0"/>
      <c:txPr>
        <a:bodyPr/>
        <a:lstStyle/>
        <a:p>
          <a:pPr>
            <a:defRPr sz="82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050" b="1" i="0" u="none" strike="noStrike" baseline="0">
                <a:solidFill>
                  <a:srgbClr val="000000"/>
                </a:solidFill>
                <a:latin typeface="Calibri"/>
              </a:rPr>
              <a:t>GHG Emissions</a:t>
            </a:r>
          </a:p>
          <a:p>
            <a:pPr>
              <a:defRPr sz="1000" b="0" i="0" u="none" strike="noStrike" baseline="0">
                <a:solidFill>
                  <a:srgbClr val="000000"/>
                </a:solidFill>
                <a:latin typeface="Calibri"/>
                <a:ea typeface="Calibri"/>
                <a:cs typeface="Calibri"/>
              </a:defRPr>
            </a:pPr>
            <a:r>
              <a:rPr lang="en-GB" sz="1050" b="1" i="0" u="none" strike="noStrike" baseline="0">
                <a:solidFill>
                  <a:srgbClr val="000000"/>
                </a:solidFill>
                <a:latin typeface="Calibri"/>
              </a:rPr>
              <a:t> from the </a:t>
            </a:r>
          </a:p>
          <a:p>
            <a:pPr>
              <a:defRPr sz="1000" b="0" i="0" u="none" strike="noStrike" baseline="0">
                <a:solidFill>
                  <a:srgbClr val="000000"/>
                </a:solidFill>
                <a:latin typeface="Calibri"/>
                <a:ea typeface="Calibri"/>
                <a:cs typeface="Calibri"/>
              </a:defRPr>
            </a:pPr>
            <a:r>
              <a:rPr lang="en-GB" sz="1050" b="1" i="0" u="none" strike="noStrike" baseline="0">
                <a:solidFill>
                  <a:srgbClr val="000000"/>
                </a:solidFill>
                <a:latin typeface="Calibri"/>
              </a:rPr>
              <a:t>UK food supply system, </a:t>
            </a:r>
          </a:p>
          <a:p>
            <a:pPr>
              <a:defRPr sz="1000" b="0" i="0" u="none" strike="noStrike" baseline="0">
                <a:solidFill>
                  <a:srgbClr val="000000"/>
                </a:solidFill>
                <a:latin typeface="Calibri"/>
                <a:ea typeface="Calibri"/>
                <a:cs typeface="Calibri"/>
              </a:defRPr>
            </a:pPr>
            <a:r>
              <a:rPr lang="en-GB" sz="1050" b="1" i="0" u="none" strike="noStrike" baseline="0">
                <a:solidFill>
                  <a:srgbClr val="000000"/>
                </a:solidFill>
                <a:latin typeface="Calibri"/>
              </a:rPr>
              <a:t>MtCO2e/y</a:t>
            </a:r>
          </a:p>
        </c:rich>
      </c:tx>
      <c:layout>
        <c:manualLayout>
          <c:xMode val="edge"/>
          <c:yMode val="edge"/>
          <c:x val="0.51692582663092046"/>
          <c:y val="5.3592829198237015E-3"/>
        </c:manualLayout>
      </c:layout>
      <c:overlay val="1"/>
    </c:title>
    <c:autoTitleDeleted val="0"/>
    <c:plotArea>
      <c:layout>
        <c:manualLayout>
          <c:layoutTarget val="inner"/>
          <c:xMode val="edge"/>
          <c:yMode val="edge"/>
          <c:x val="6.5340679600036589E-2"/>
          <c:y val="6.9019624892913356E-2"/>
          <c:w val="0.4910633087754111"/>
          <c:h val="0.86196075021417329"/>
        </c:manualLayout>
      </c:layout>
      <c:pieChart>
        <c:varyColors val="1"/>
        <c:ser>
          <c:idx val="0"/>
          <c:order val="0"/>
          <c:dPt>
            <c:idx val="0"/>
            <c:bubble3D val="0"/>
            <c:spPr>
              <a:solidFill>
                <a:schemeClr val="accent3">
                  <a:lumMod val="75000"/>
                </a:schemeClr>
              </a:solidFill>
            </c:spPr>
            <c:extLst>
              <c:ext xmlns:c16="http://schemas.microsoft.com/office/drawing/2014/chart" uri="{C3380CC4-5D6E-409C-BE32-E72D297353CC}">
                <c16:uniqueId val="{00000000-2421-455D-A40A-8AD3B3B15678}"/>
              </c:ext>
            </c:extLst>
          </c:dPt>
          <c:dPt>
            <c:idx val="1"/>
            <c:bubble3D val="0"/>
            <c:spPr>
              <a:solidFill>
                <a:srgbClr val="C00000"/>
              </a:solidFill>
            </c:spPr>
            <c:extLst>
              <c:ext xmlns:c16="http://schemas.microsoft.com/office/drawing/2014/chart" uri="{C3380CC4-5D6E-409C-BE32-E72D297353CC}">
                <c16:uniqueId val="{00000001-2421-455D-A40A-8AD3B3B15678}"/>
              </c:ext>
            </c:extLst>
          </c:dPt>
          <c:dPt>
            <c:idx val="2"/>
            <c:bubble3D val="0"/>
            <c:spPr>
              <a:ln>
                <a:solidFill>
                  <a:schemeClr val="accent3">
                    <a:lumMod val="20000"/>
                    <a:lumOff val="80000"/>
                  </a:schemeClr>
                </a:solidFill>
              </a:ln>
            </c:spPr>
            <c:extLst>
              <c:ext xmlns:c16="http://schemas.microsoft.com/office/drawing/2014/chart" uri="{C3380CC4-5D6E-409C-BE32-E72D297353CC}">
                <c16:uniqueId val="{00000002-2421-455D-A40A-8AD3B3B15678}"/>
              </c:ext>
            </c:extLst>
          </c:dPt>
          <c:dLbls>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'TABLES AND GRAPHS'!$E$12:$E$14</c:f>
              <c:strCache>
                <c:ptCount val="3"/>
                <c:pt idx="0">
                  <c:v>Agriculture in UK</c:v>
                </c:pt>
                <c:pt idx="1">
                  <c:v>Processing and consumption</c:v>
                </c:pt>
                <c:pt idx="2">
                  <c:v>Food imports</c:v>
                </c:pt>
              </c:strCache>
            </c:strRef>
          </c:cat>
          <c:val>
            <c:numRef>
              <c:f>'TABLES AND GRAPHS'!$H$12:$H$14</c:f>
              <c:numCache>
                <c:formatCode>General</c:formatCode>
                <c:ptCount val="3"/>
                <c:pt idx="0">
                  <c:v>63.4</c:v>
                </c:pt>
                <c:pt idx="1">
                  <c:v>61</c:v>
                </c:pt>
                <c:pt idx="2">
                  <c:v>29</c:v>
                </c:pt>
              </c:numCache>
            </c:numRef>
          </c:val>
          <c:extLst>
            <c:ext xmlns:c16="http://schemas.microsoft.com/office/drawing/2014/chart" uri="{C3380CC4-5D6E-409C-BE32-E72D297353CC}">
              <c16:uniqueId val="{00000003-2421-455D-A40A-8AD3B3B1567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1830205540661309"/>
          <c:y val="0.46079235378596545"/>
          <c:w val="0.30663092046470064"/>
          <c:h val="0.49880800277323828"/>
        </c:manualLayout>
      </c:layout>
      <c:overlay val="0"/>
      <c:txPr>
        <a:bodyPr/>
        <a:lstStyle/>
        <a:p>
          <a:pPr>
            <a:defRPr sz="82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5.xml"/><Relationship Id="rId3" Type="http://schemas.openxmlformats.org/officeDocument/2006/relationships/chart" Target="../charts/chart10.xml"/><Relationship Id="rId7" Type="http://schemas.openxmlformats.org/officeDocument/2006/relationships/chart" Target="../charts/chart14.xml"/><Relationship Id="rId12" Type="http://schemas.openxmlformats.org/officeDocument/2006/relationships/chart" Target="../charts/chart19.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11" Type="http://schemas.openxmlformats.org/officeDocument/2006/relationships/chart" Target="../charts/chart18.xml"/><Relationship Id="rId5" Type="http://schemas.openxmlformats.org/officeDocument/2006/relationships/chart" Target="../charts/chart12.xml"/><Relationship Id="rId10" Type="http://schemas.openxmlformats.org/officeDocument/2006/relationships/chart" Target="../charts/chart17.xml"/><Relationship Id="rId4" Type="http://schemas.openxmlformats.org/officeDocument/2006/relationships/chart" Target="../charts/chart11.xml"/><Relationship Id="rId9"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48</xdr:col>
      <xdr:colOff>581025</xdr:colOff>
      <xdr:row>53</xdr:row>
      <xdr:rowOff>171450</xdr:rowOff>
    </xdr:from>
    <xdr:to>
      <xdr:col>54</xdr:col>
      <xdr:colOff>285750</xdr:colOff>
      <xdr:row>63</xdr:row>
      <xdr:rowOff>104775</xdr:rowOff>
    </xdr:to>
    <xdr:graphicFrame macro="">
      <xdr:nvGraphicFramePr>
        <xdr:cNvPr id="1929" name="Chart 1">
          <a:extLst>
            <a:ext uri="{FF2B5EF4-FFF2-40B4-BE49-F238E27FC236}">
              <a16:creationId xmlns:a16="http://schemas.microsoft.com/office/drawing/2014/main" id="{00000000-0008-0000-0000-000089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161925</xdr:colOff>
      <xdr:row>53</xdr:row>
      <xdr:rowOff>123825</xdr:rowOff>
    </xdr:from>
    <xdr:to>
      <xdr:col>7</xdr:col>
      <xdr:colOff>47625</xdr:colOff>
      <xdr:row>63</xdr:row>
      <xdr:rowOff>152400</xdr:rowOff>
    </xdr:to>
    <xdr:graphicFrame macro="">
      <xdr:nvGraphicFramePr>
        <xdr:cNvPr id="1930" name="Chart 2">
          <a:extLst>
            <a:ext uri="{FF2B5EF4-FFF2-40B4-BE49-F238E27FC236}">
              <a16:creationId xmlns:a16="http://schemas.microsoft.com/office/drawing/2014/main" id="{00000000-0008-0000-0000-00008A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42</xdr:col>
      <xdr:colOff>66675</xdr:colOff>
      <xdr:row>57</xdr:row>
      <xdr:rowOff>133350</xdr:rowOff>
    </xdr:from>
    <xdr:to>
      <xdr:col>51</xdr:col>
      <xdr:colOff>361950</xdr:colOff>
      <xdr:row>67</xdr:row>
      <xdr:rowOff>19050</xdr:rowOff>
    </xdr:to>
    <xdr:graphicFrame macro="">
      <xdr:nvGraphicFramePr>
        <xdr:cNvPr id="1931" name="Chart 3">
          <a:extLst>
            <a:ext uri="{FF2B5EF4-FFF2-40B4-BE49-F238E27FC236}">
              <a16:creationId xmlns:a16="http://schemas.microsoft.com/office/drawing/2014/main" id="{00000000-0008-0000-0000-00008B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28575</xdr:colOff>
      <xdr:row>57</xdr:row>
      <xdr:rowOff>38100</xdr:rowOff>
    </xdr:from>
    <xdr:to>
      <xdr:col>17</xdr:col>
      <xdr:colOff>200025</xdr:colOff>
      <xdr:row>66</xdr:row>
      <xdr:rowOff>133350</xdr:rowOff>
    </xdr:to>
    <xdr:graphicFrame macro="">
      <xdr:nvGraphicFramePr>
        <xdr:cNvPr id="1932" name="Chart 4">
          <a:extLst>
            <a:ext uri="{FF2B5EF4-FFF2-40B4-BE49-F238E27FC236}">
              <a16:creationId xmlns:a16="http://schemas.microsoft.com/office/drawing/2014/main" id="{00000000-0008-0000-0000-00008C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47625</xdr:colOff>
      <xdr:row>54</xdr:row>
      <xdr:rowOff>180975</xdr:rowOff>
    </xdr:from>
    <xdr:to>
      <xdr:col>24</xdr:col>
      <xdr:colOff>85725</xdr:colOff>
      <xdr:row>63</xdr:row>
      <xdr:rowOff>57150</xdr:rowOff>
    </xdr:to>
    <xdr:graphicFrame macro="">
      <xdr:nvGraphicFramePr>
        <xdr:cNvPr id="1933" name="Chart 5">
          <a:extLst>
            <a:ext uri="{FF2B5EF4-FFF2-40B4-BE49-F238E27FC236}">
              <a16:creationId xmlns:a16="http://schemas.microsoft.com/office/drawing/2014/main" id="{00000000-0008-0000-0000-00008D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57</xdr:col>
      <xdr:colOff>582838</xdr:colOff>
      <xdr:row>26</xdr:row>
      <xdr:rowOff>136524</xdr:rowOff>
    </xdr:from>
    <xdr:to>
      <xdr:col>70</xdr:col>
      <xdr:colOff>45357</xdr:colOff>
      <xdr:row>45</xdr:row>
      <xdr:rowOff>378731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55</xdr:col>
      <xdr:colOff>154213</xdr:colOff>
      <xdr:row>19</xdr:row>
      <xdr:rowOff>151946</xdr:rowOff>
    </xdr:from>
    <xdr:to>
      <xdr:col>66</xdr:col>
      <xdr:colOff>97517</xdr:colOff>
      <xdr:row>45</xdr:row>
      <xdr:rowOff>15875</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571500</xdr:colOff>
      <xdr:row>4</xdr:row>
      <xdr:rowOff>171450</xdr:rowOff>
    </xdr:from>
    <xdr:to>
      <xdr:col>19</xdr:col>
      <xdr:colOff>266700</xdr:colOff>
      <xdr:row>21</xdr:row>
      <xdr:rowOff>152400</xdr:rowOff>
    </xdr:to>
    <xdr:graphicFrame macro="">
      <xdr:nvGraphicFramePr>
        <xdr:cNvPr id="444001" name="Chart 1">
          <a:extLst>
            <a:ext uri="{FF2B5EF4-FFF2-40B4-BE49-F238E27FC236}">
              <a16:creationId xmlns:a16="http://schemas.microsoft.com/office/drawing/2014/main" id="{00000000-0008-0000-0300-000061C6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142875</xdr:colOff>
      <xdr:row>6</xdr:row>
      <xdr:rowOff>47625</xdr:rowOff>
    </xdr:from>
    <xdr:to>
      <xdr:col>12</xdr:col>
      <xdr:colOff>38100</xdr:colOff>
      <xdr:row>16</xdr:row>
      <xdr:rowOff>161925</xdr:rowOff>
    </xdr:to>
    <xdr:graphicFrame macro="">
      <xdr:nvGraphicFramePr>
        <xdr:cNvPr id="444002" name="Chart 3">
          <a:extLst>
            <a:ext uri="{FF2B5EF4-FFF2-40B4-BE49-F238E27FC236}">
              <a16:creationId xmlns:a16="http://schemas.microsoft.com/office/drawing/2014/main" id="{00000000-0008-0000-0300-000062C6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47625</xdr:colOff>
      <xdr:row>6</xdr:row>
      <xdr:rowOff>85725</xdr:rowOff>
    </xdr:from>
    <xdr:to>
      <xdr:col>24</xdr:col>
      <xdr:colOff>485775</xdr:colOff>
      <xdr:row>25</xdr:row>
      <xdr:rowOff>28575</xdr:rowOff>
    </xdr:to>
    <xdr:graphicFrame macro="">
      <xdr:nvGraphicFramePr>
        <xdr:cNvPr id="444003" name="Chart 9">
          <a:extLst>
            <a:ext uri="{FF2B5EF4-FFF2-40B4-BE49-F238E27FC236}">
              <a16:creationId xmlns:a16="http://schemas.microsoft.com/office/drawing/2014/main" id="{00000000-0008-0000-0300-000063C6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17992</xdr:colOff>
      <xdr:row>44</xdr:row>
      <xdr:rowOff>98425</xdr:rowOff>
    </xdr:from>
    <xdr:to>
      <xdr:col>18</xdr:col>
      <xdr:colOff>284692</xdr:colOff>
      <xdr:row>59</xdr:row>
      <xdr:rowOff>155575</xdr:rowOff>
    </xdr:to>
    <xdr:graphicFrame macro="">
      <xdr:nvGraphicFramePr>
        <xdr:cNvPr id="444004" name="Chart 11">
          <a:extLst>
            <a:ext uri="{FF2B5EF4-FFF2-40B4-BE49-F238E27FC236}">
              <a16:creationId xmlns:a16="http://schemas.microsoft.com/office/drawing/2014/main" id="{00000000-0008-0000-0300-000064C6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447675</xdr:colOff>
      <xdr:row>24</xdr:row>
      <xdr:rowOff>28575</xdr:rowOff>
    </xdr:from>
    <xdr:to>
      <xdr:col>23</xdr:col>
      <xdr:colOff>438150</xdr:colOff>
      <xdr:row>39</xdr:row>
      <xdr:rowOff>180975</xdr:rowOff>
    </xdr:to>
    <xdr:graphicFrame macro="">
      <xdr:nvGraphicFramePr>
        <xdr:cNvPr id="444005" name="Chart 13">
          <a:extLst>
            <a:ext uri="{FF2B5EF4-FFF2-40B4-BE49-F238E27FC236}">
              <a16:creationId xmlns:a16="http://schemas.microsoft.com/office/drawing/2014/main" id="{00000000-0008-0000-0300-000065C6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xdr:row>
      <xdr:rowOff>142875</xdr:rowOff>
    </xdr:from>
    <xdr:to>
      <xdr:col>6</xdr:col>
      <xdr:colOff>419100</xdr:colOff>
      <xdr:row>26</xdr:row>
      <xdr:rowOff>133350</xdr:rowOff>
    </xdr:to>
    <xdr:graphicFrame macro="">
      <xdr:nvGraphicFramePr>
        <xdr:cNvPr id="444006" name="Chart 14">
          <a:extLst>
            <a:ext uri="{FF2B5EF4-FFF2-40B4-BE49-F238E27FC236}">
              <a16:creationId xmlns:a16="http://schemas.microsoft.com/office/drawing/2014/main" id="{00000000-0008-0000-0300-000066C6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68</xdr:row>
      <xdr:rowOff>9525</xdr:rowOff>
    </xdr:from>
    <xdr:to>
      <xdr:col>9</xdr:col>
      <xdr:colOff>400050</xdr:colOff>
      <xdr:row>86</xdr:row>
      <xdr:rowOff>95250</xdr:rowOff>
    </xdr:to>
    <xdr:graphicFrame macro="">
      <xdr:nvGraphicFramePr>
        <xdr:cNvPr id="444007" name="Chart 17">
          <a:extLst>
            <a:ext uri="{FF2B5EF4-FFF2-40B4-BE49-F238E27FC236}">
              <a16:creationId xmlns:a16="http://schemas.microsoft.com/office/drawing/2014/main" id="{00000000-0008-0000-0300-000067C6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19</xdr:col>
      <xdr:colOff>9525</xdr:colOff>
      <xdr:row>41</xdr:row>
      <xdr:rowOff>114300</xdr:rowOff>
    </xdr:from>
    <xdr:to>
      <xdr:col>28</xdr:col>
      <xdr:colOff>0</xdr:colOff>
      <xdr:row>59</xdr:row>
      <xdr:rowOff>47625</xdr:rowOff>
    </xdr:to>
    <xdr:graphicFrame macro="">
      <xdr:nvGraphicFramePr>
        <xdr:cNvPr id="444008" name="Chart 18">
          <a:extLst>
            <a:ext uri="{FF2B5EF4-FFF2-40B4-BE49-F238E27FC236}">
              <a16:creationId xmlns:a16="http://schemas.microsoft.com/office/drawing/2014/main" id="{00000000-0008-0000-0300-000068C6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114300</xdr:colOff>
      <xdr:row>112</xdr:row>
      <xdr:rowOff>85725</xdr:rowOff>
    </xdr:from>
    <xdr:to>
      <xdr:col>18</xdr:col>
      <xdr:colOff>409575</xdr:colOff>
      <xdr:row>133</xdr:row>
      <xdr:rowOff>133350</xdr:rowOff>
    </xdr:to>
    <xdr:graphicFrame macro="">
      <xdr:nvGraphicFramePr>
        <xdr:cNvPr id="444009" name="Chart 19">
          <a:extLst>
            <a:ext uri="{FF2B5EF4-FFF2-40B4-BE49-F238E27FC236}">
              <a16:creationId xmlns:a16="http://schemas.microsoft.com/office/drawing/2014/main" id="{00000000-0008-0000-0300-000069C6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257175</xdr:colOff>
      <xdr:row>86</xdr:row>
      <xdr:rowOff>123825</xdr:rowOff>
    </xdr:from>
    <xdr:to>
      <xdr:col>21</xdr:col>
      <xdr:colOff>152400</xdr:colOff>
      <xdr:row>109</xdr:row>
      <xdr:rowOff>0</xdr:rowOff>
    </xdr:to>
    <xdr:graphicFrame macro="">
      <xdr:nvGraphicFramePr>
        <xdr:cNvPr id="444010" name="Chart 4">
          <a:extLst>
            <a:ext uri="{FF2B5EF4-FFF2-40B4-BE49-F238E27FC236}">
              <a16:creationId xmlns:a16="http://schemas.microsoft.com/office/drawing/2014/main" id="{00000000-0008-0000-0300-00006AC6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13</xdr:col>
      <xdr:colOff>465667</xdr:colOff>
      <xdr:row>24</xdr:row>
      <xdr:rowOff>41274</xdr:rowOff>
    </xdr:from>
    <xdr:to>
      <xdr:col>21</xdr:col>
      <xdr:colOff>127000</xdr:colOff>
      <xdr:row>38</xdr:row>
      <xdr:rowOff>117474</xdr:rowOff>
    </xdr:to>
    <xdr:graphicFrame macro="">
      <xdr:nvGraphicFramePr>
        <xdr:cNvPr id="2" name="Chart 1">
          <a:extLst>
            <a:ext uri="{FF2B5EF4-FFF2-40B4-BE49-F238E27FC236}">
              <a16:creationId xmlns:a16="http://schemas.microsoft.com/office/drawing/2014/main" id="{C5055AB7-2734-47DB-A494-CC527DF3A6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36</xdr:col>
      <xdr:colOff>42333</xdr:colOff>
      <xdr:row>34</xdr:row>
      <xdr:rowOff>115357</xdr:rowOff>
    </xdr:from>
    <xdr:to>
      <xdr:col>45</xdr:col>
      <xdr:colOff>582083</xdr:colOff>
      <xdr:row>62</xdr:row>
      <xdr:rowOff>148167</xdr:rowOff>
    </xdr:to>
    <xdr:graphicFrame macro="">
      <xdr:nvGraphicFramePr>
        <xdr:cNvPr id="5" name="Chart 4">
          <a:extLst>
            <a:ext uri="{FF2B5EF4-FFF2-40B4-BE49-F238E27FC236}">
              <a16:creationId xmlns:a16="http://schemas.microsoft.com/office/drawing/2014/main" id="{88447782-F938-4218-946C-0F7C794532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ter%20Harper/Documents/ZCB3/LAND%20USE%20ISSUES/WORKING%20DOCS%20ON%20FOOD%20AND%20LAND/Food%20and%20Land%20use%20sheets%20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MBLY &amp; CALCS"/>
      <sheetName val="SUMMARY GRAPHS"/>
      <sheetName val="POST-RDC BEHAVIOUR"/>
      <sheetName val="MASTER SHEET"/>
      <sheetName val="Cranfield 2006 data"/>
      <sheetName val="NOTES"/>
      <sheetName val="SANKEY"/>
      <sheetName val="Sheet3"/>
      <sheetName val="CONDENSED"/>
    </sheetNames>
    <sheetDataSet>
      <sheetData sheetId="0"/>
      <sheetData sheetId="1"/>
      <sheetData sheetId="2"/>
      <sheetData sheetId="3">
        <row r="45">
          <cell r="C45" t="str">
            <v>UK Production</v>
          </cell>
          <cell r="D45" t="str">
            <v>O/S Production</v>
          </cell>
          <cell r="AB45" t="str">
            <v>DIRECT GHGE</v>
          </cell>
          <cell r="AC45" t="str">
            <v>INCLUDING LUC</v>
          </cell>
        </row>
        <row r="46">
          <cell r="B46" t="str">
            <v>Crops</v>
          </cell>
          <cell r="C46">
            <v>42950</v>
          </cell>
          <cell r="D46">
            <v>28294</v>
          </cell>
          <cell r="AA46" t="str">
            <v>Crops</v>
          </cell>
          <cell r="AB46">
            <v>36103</v>
          </cell>
          <cell r="AC46">
            <v>15965</v>
          </cell>
        </row>
        <row r="47">
          <cell r="B47" t="str">
            <v>Livestock</v>
          </cell>
          <cell r="C47">
            <v>6100</v>
          </cell>
          <cell r="D47">
            <v>1889</v>
          </cell>
          <cell r="AA47" t="str">
            <v>Livestock</v>
          </cell>
          <cell r="AB47">
            <v>55935</v>
          </cell>
          <cell r="AC47">
            <v>116510</v>
          </cell>
          <cell r="AM47" t="str">
            <v>Production</v>
          </cell>
          <cell r="AN47" t="str">
            <v>Emissions</v>
          </cell>
        </row>
        <row r="48">
          <cell r="AL48" t="str">
            <v>Crops</v>
          </cell>
          <cell r="AM48">
            <v>66471</v>
          </cell>
          <cell r="AN48">
            <v>15337</v>
          </cell>
        </row>
        <row r="49">
          <cell r="AL49" t="str">
            <v>Livestock</v>
          </cell>
          <cell r="AM49">
            <v>3939</v>
          </cell>
          <cell r="AN49">
            <v>11287</v>
          </cell>
        </row>
      </sheetData>
      <sheetData sheetId="4"/>
      <sheetData sheetId="5"/>
      <sheetData sheetId="6"/>
      <sheetData sheetId="7"/>
      <sheetData sheetId="8">
        <row r="51">
          <cell r="T51" t="str">
            <v>High carbs</v>
          </cell>
          <cell r="U51">
            <v>18147.047619047618</v>
          </cell>
        </row>
        <row r="52">
          <cell r="T52" t="str">
            <v>High energy</v>
          </cell>
          <cell r="U52">
            <v>16874.661818181819</v>
          </cell>
        </row>
        <row r="53">
          <cell r="T53" t="str">
            <v>High Protein</v>
          </cell>
          <cell r="U53">
            <v>8989.7999999999993</v>
          </cell>
        </row>
        <row r="54">
          <cell r="N54" t="str">
            <v>Grazing UK</v>
          </cell>
          <cell r="O54" t="str">
            <v>Arable UK</v>
          </cell>
          <cell r="P54" t="str">
            <v>Arable O/S</v>
          </cell>
          <cell r="Q54" t="str">
            <v>Grazing O/S</v>
          </cell>
          <cell r="T54" t="str">
            <v>High health</v>
          </cell>
          <cell r="U54">
            <v>15598.77966101695</v>
          </cell>
        </row>
        <row r="55">
          <cell r="M55" t="str">
            <v>Crops</v>
          </cell>
          <cell r="O55">
            <v>3328</v>
          </cell>
          <cell r="P55">
            <v>1096</v>
          </cell>
        </row>
        <row r="56">
          <cell r="M56" t="str">
            <v>Livestock</v>
          </cell>
          <cell r="N56">
            <v>11227</v>
          </cell>
          <cell r="O56">
            <v>1488</v>
          </cell>
          <cell r="P56">
            <v>1730</v>
          </cell>
          <cell r="Q56">
            <v>620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rchive.defra.gov.uk/environment/quality/gm/crops/documents/foodmatters-otherfeeds-1308.pdf.%20Accessed%2014/02/13"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71"/>
  <sheetViews>
    <sheetView topLeftCell="A3" zoomScale="70" zoomScaleNormal="70" workbookViewId="0">
      <pane xSplit="1" topLeftCell="B1" activePane="topRight" state="frozen"/>
      <selection activeCell="A10" sqref="A10"/>
      <selection pane="topRight" activeCell="Z11" sqref="Z11:Z42"/>
    </sheetView>
  </sheetViews>
  <sheetFormatPr defaultRowHeight="15" x14ac:dyDescent="0.25"/>
  <cols>
    <col min="1" max="1" width="39" customWidth="1"/>
    <col min="2" max="2" width="11.5703125" bestFit="1" customWidth="1"/>
    <col min="3" max="6" width="14.5703125" bestFit="1" customWidth="1"/>
    <col min="9" max="11" width="11.5703125" bestFit="1" customWidth="1"/>
    <col min="12" max="13" width="9.85546875" bestFit="1" customWidth="1"/>
    <col min="14" max="14" width="11.5703125" bestFit="1" customWidth="1"/>
    <col min="15" max="15" width="9.85546875" bestFit="1" customWidth="1"/>
    <col min="23" max="24" width="9.85546875" bestFit="1" customWidth="1"/>
    <col min="28" max="28" width="15.7109375" bestFit="1" customWidth="1"/>
    <col min="29" max="29" width="14.5703125" bestFit="1" customWidth="1"/>
    <col min="30" max="30" width="14.7109375" bestFit="1" customWidth="1"/>
    <col min="31" max="31" width="10.5703125" bestFit="1" customWidth="1"/>
    <col min="32" max="32" width="12.85546875" customWidth="1"/>
    <col min="33" max="33" width="11.5703125" customWidth="1"/>
    <col min="34" max="34" width="10" bestFit="1" customWidth="1"/>
    <col min="35" max="35" width="12.7109375" bestFit="1" customWidth="1"/>
    <col min="36" max="36" width="10.85546875" customWidth="1"/>
    <col min="37" max="37" width="12.5703125" customWidth="1"/>
    <col min="38" max="39" width="13.42578125" customWidth="1"/>
    <col min="40" max="40" width="9.140625" style="109"/>
    <col min="41" max="41" width="7.7109375" style="109" customWidth="1"/>
    <col min="42" max="42" width="9.42578125" style="109" customWidth="1"/>
    <col min="43" max="44" width="9.85546875" style="109" bestFit="1" customWidth="1"/>
    <col min="45" max="45" width="12.85546875" style="109" bestFit="1" customWidth="1"/>
    <col min="46" max="48" width="9.140625" style="109"/>
    <col min="49" max="50" width="13.7109375" style="109" bestFit="1" customWidth="1"/>
    <col min="51" max="51" width="14.42578125" style="109" bestFit="1" customWidth="1"/>
    <col min="52" max="52" width="9.85546875" style="109" bestFit="1" customWidth="1"/>
    <col min="53" max="54" width="9.140625" style="109"/>
    <col min="55" max="55" width="11.42578125" style="109" bestFit="1" customWidth="1"/>
    <col min="56" max="64" width="9.140625" style="109"/>
  </cols>
  <sheetData>
    <row r="1" spans="1:64" x14ac:dyDescent="0.25">
      <c r="D1" s="1"/>
      <c r="E1" s="1"/>
      <c r="F1" s="1"/>
      <c r="H1" s="1"/>
      <c r="I1" s="2"/>
      <c r="J1" s="2"/>
      <c r="K1" s="2"/>
      <c r="L1" s="1"/>
      <c r="M1" s="1"/>
      <c r="W1" s="1"/>
      <c r="X1" s="1"/>
      <c r="Z1" s="3"/>
      <c r="AC1" s="1"/>
      <c r="AD1" s="1"/>
      <c r="AF1" s="4"/>
      <c r="AJ1" s="1"/>
    </row>
    <row r="2" spans="1:64" ht="22.5" customHeight="1" x14ac:dyDescent="0.35">
      <c r="A2" s="67" t="s">
        <v>519</v>
      </c>
      <c r="D2" s="1"/>
      <c r="E2" s="1"/>
      <c r="F2" s="1"/>
      <c r="H2" s="1"/>
      <c r="I2" s="2"/>
      <c r="J2" s="2"/>
      <c r="K2" s="2"/>
      <c r="L2" s="1"/>
      <c r="M2" s="1"/>
      <c r="W2" s="1"/>
      <c r="X2" s="1"/>
      <c r="Z2" s="3"/>
      <c r="AC2" s="1"/>
      <c r="AD2" s="1"/>
      <c r="AF2" s="4"/>
      <c r="AJ2" s="1"/>
    </row>
    <row r="3" spans="1:64" x14ac:dyDescent="0.25">
      <c r="B3" t="s">
        <v>0</v>
      </c>
      <c r="D3" s="1"/>
      <c r="E3" s="1"/>
      <c r="F3" s="1"/>
      <c r="H3" s="1"/>
      <c r="I3" s="2"/>
      <c r="J3" s="2"/>
      <c r="K3" s="2"/>
      <c r="L3" s="1"/>
      <c r="M3" s="1"/>
      <c r="W3" s="1"/>
      <c r="X3" s="1"/>
      <c r="Z3" s="3"/>
      <c r="AC3" s="1"/>
      <c r="AD3" s="1"/>
      <c r="AF3" s="4"/>
      <c r="AJ3" s="1"/>
    </row>
    <row r="4" spans="1:64" x14ac:dyDescent="0.25">
      <c r="B4" t="s">
        <v>1</v>
      </c>
      <c r="D4" s="1"/>
      <c r="E4" s="1"/>
      <c r="F4" s="1"/>
      <c r="H4" s="1"/>
      <c r="I4" s="2"/>
      <c r="J4" s="2"/>
      <c r="K4" s="2"/>
      <c r="L4" s="1"/>
      <c r="M4" s="1"/>
      <c r="P4" s="6"/>
      <c r="W4" s="1"/>
      <c r="X4" s="1"/>
      <c r="Z4" s="3"/>
      <c r="AC4" s="1"/>
      <c r="AD4" s="1"/>
      <c r="AF4" s="4"/>
      <c r="AJ4" s="1"/>
    </row>
    <row r="5" spans="1:64" ht="15.75" x14ac:dyDescent="0.25">
      <c r="A5" s="5" t="s">
        <v>2</v>
      </c>
      <c r="B5" t="s">
        <v>3</v>
      </c>
      <c r="D5" s="1"/>
      <c r="E5" s="1"/>
      <c r="F5" s="1"/>
      <c r="H5" s="1"/>
      <c r="I5" s="2"/>
      <c r="J5" s="2"/>
      <c r="K5" s="2"/>
      <c r="L5" s="1"/>
      <c r="M5" s="1"/>
      <c r="V5" s="1"/>
      <c r="W5" s="1"/>
      <c r="Y5" s="58">
        <v>25</v>
      </c>
      <c r="Z5" s="8">
        <v>26</v>
      </c>
      <c r="AA5">
        <v>27</v>
      </c>
      <c r="AB5" s="1">
        <v>28</v>
      </c>
      <c r="AC5" s="16">
        <v>29</v>
      </c>
      <c r="AD5" s="16">
        <v>30</v>
      </c>
      <c r="AE5" s="1">
        <v>31</v>
      </c>
      <c r="AF5" s="59">
        <v>32</v>
      </c>
      <c r="AG5" s="16">
        <v>33</v>
      </c>
      <c r="AH5" s="16">
        <v>34</v>
      </c>
      <c r="AI5" s="16">
        <v>35</v>
      </c>
      <c r="AJ5" s="16">
        <v>36</v>
      </c>
      <c r="AK5" s="16">
        <v>37</v>
      </c>
      <c r="AL5" s="16">
        <v>38</v>
      </c>
      <c r="AM5" s="16"/>
      <c r="AN5" s="110">
        <v>39</v>
      </c>
      <c r="AO5" s="110">
        <v>40</v>
      </c>
      <c r="AP5" s="109">
        <v>41</v>
      </c>
      <c r="AQ5" s="110">
        <v>42</v>
      </c>
      <c r="AR5" s="110">
        <v>43</v>
      </c>
      <c r="AS5" s="110">
        <v>44</v>
      </c>
      <c r="AT5" s="110">
        <v>45</v>
      </c>
      <c r="AU5" s="110">
        <v>46</v>
      </c>
      <c r="AV5" s="110">
        <v>47</v>
      </c>
      <c r="AW5" s="109">
        <v>48</v>
      </c>
      <c r="AX5" s="109">
        <v>49</v>
      </c>
      <c r="AY5" s="109">
        <v>50</v>
      </c>
      <c r="AZ5" s="109">
        <v>51</v>
      </c>
    </row>
    <row r="6" spans="1:64" ht="15.75" x14ac:dyDescent="0.25">
      <c r="A6" s="7">
        <v>43000</v>
      </c>
      <c r="B6" t="s">
        <v>4</v>
      </c>
      <c r="D6" s="4" t="s">
        <v>5</v>
      </c>
      <c r="E6" s="1"/>
      <c r="F6" s="8" t="s">
        <v>6</v>
      </c>
      <c r="H6" s="9" t="s">
        <v>7</v>
      </c>
      <c r="I6" s="2"/>
      <c r="J6" s="10" t="s">
        <v>8</v>
      </c>
      <c r="K6" s="2"/>
      <c r="L6" s="11" t="s">
        <v>9</v>
      </c>
      <c r="M6" s="1"/>
      <c r="N6" s="12" t="s">
        <v>10</v>
      </c>
      <c r="P6" s="13" t="s">
        <v>11</v>
      </c>
      <c r="R6" s="14" t="s">
        <v>12</v>
      </c>
      <c r="V6" s="1"/>
      <c r="W6" s="1"/>
      <c r="Y6" s="32" t="s">
        <v>272</v>
      </c>
      <c r="Z6" s="3"/>
      <c r="AC6" s="1"/>
      <c r="AD6" s="1"/>
      <c r="AF6" s="4" t="s">
        <v>5</v>
      </c>
      <c r="AH6" t="s">
        <v>13</v>
      </c>
      <c r="AJ6" s="1" t="s">
        <v>14</v>
      </c>
      <c r="AK6" s="1" t="s">
        <v>372</v>
      </c>
      <c r="AN6" s="109" t="s">
        <v>15</v>
      </c>
      <c r="AP6" s="109" t="s">
        <v>5</v>
      </c>
      <c r="AR6" s="109" t="s">
        <v>14</v>
      </c>
      <c r="AS6" s="109" t="s">
        <v>61</v>
      </c>
    </row>
    <row r="7" spans="1:64" ht="18.75" customHeight="1" x14ac:dyDescent="0.25">
      <c r="A7" s="7">
        <v>71.400000000000006</v>
      </c>
      <c r="D7" s="1"/>
      <c r="E7" s="1"/>
      <c r="F7" s="1"/>
      <c r="H7" s="1"/>
      <c r="I7" s="2"/>
      <c r="J7" s="2"/>
      <c r="K7" s="2"/>
      <c r="L7" s="1"/>
      <c r="M7" s="1"/>
      <c r="V7" s="1"/>
      <c r="W7" s="1"/>
      <c r="Y7" s="1" t="s">
        <v>273</v>
      </c>
      <c r="Z7" s="3"/>
      <c r="AC7" s="1"/>
      <c r="AD7" s="1" t="s">
        <v>517</v>
      </c>
      <c r="AF7" s="4"/>
      <c r="AG7" t="s">
        <v>16</v>
      </c>
      <c r="AI7" t="s">
        <v>17</v>
      </c>
      <c r="AJ7" s="1"/>
      <c r="AL7" t="s">
        <v>18</v>
      </c>
      <c r="AN7" s="111"/>
      <c r="AO7" s="111"/>
      <c r="AQ7" s="109" t="s">
        <v>17</v>
      </c>
      <c r="AT7" s="109" t="s">
        <v>19</v>
      </c>
      <c r="AZ7" s="109" t="s">
        <v>438</v>
      </c>
    </row>
    <row r="8" spans="1:64" s="68" customFormat="1" ht="29.25" customHeight="1" x14ac:dyDescent="0.45">
      <c r="A8" s="67">
        <v>1</v>
      </c>
      <c r="B8" s="68">
        <v>2</v>
      </c>
      <c r="C8" s="68">
        <v>3</v>
      </c>
      <c r="D8" s="69">
        <v>4</v>
      </c>
      <c r="E8" s="69">
        <v>5</v>
      </c>
      <c r="F8" s="69">
        <v>6</v>
      </c>
      <c r="G8" s="68">
        <v>7</v>
      </c>
      <c r="H8" s="69">
        <v>8</v>
      </c>
      <c r="I8" s="70">
        <v>9</v>
      </c>
      <c r="J8" s="70">
        <v>10</v>
      </c>
      <c r="K8" s="70">
        <v>11</v>
      </c>
      <c r="L8" s="69">
        <v>12</v>
      </c>
      <c r="M8" s="69">
        <v>13</v>
      </c>
      <c r="N8" s="69">
        <v>14</v>
      </c>
      <c r="O8" s="69">
        <v>15</v>
      </c>
      <c r="P8" s="71">
        <v>16</v>
      </c>
      <c r="Q8" s="71">
        <v>17</v>
      </c>
      <c r="R8" s="71">
        <v>18</v>
      </c>
      <c r="S8" s="71">
        <v>19</v>
      </c>
      <c r="T8" s="71">
        <v>20</v>
      </c>
      <c r="U8" s="71">
        <v>21</v>
      </c>
      <c r="V8" s="69">
        <v>22</v>
      </c>
      <c r="W8" s="69">
        <v>23</v>
      </c>
      <c r="X8" s="68">
        <v>24</v>
      </c>
      <c r="Z8" s="72" t="s">
        <v>518</v>
      </c>
      <c r="AA8" s="73"/>
      <c r="AB8" s="73"/>
      <c r="AC8" s="73"/>
      <c r="AD8" s="103">
        <f>AD48</f>
        <v>68319.842265836676</v>
      </c>
      <c r="AE8" s="104"/>
      <c r="AF8" s="105">
        <f t="shared" ref="AF8:AK8" si="0">AF48</f>
        <v>92934.390179176757</v>
      </c>
      <c r="AG8" s="106">
        <f t="shared" si="0"/>
        <v>5345.4655616091077</v>
      </c>
      <c r="AH8" s="106">
        <f t="shared" si="0"/>
        <v>97.241711866326654</v>
      </c>
      <c r="AI8" s="106">
        <f t="shared" si="0"/>
        <v>6261</v>
      </c>
      <c r="AJ8" s="106">
        <f t="shared" si="0"/>
        <v>2986.3599999999997</v>
      </c>
      <c r="AK8" s="106">
        <f t="shared" si="0"/>
        <v>14020.034953846154</v>
      </c>
      <c r="AL8" s="107">
        <f>BIOMASSAREA</f>
        <v>-20.034953846154167</v>
      </c>
      <c r="AM8" s="108"/>
      <c r="AN8" s="112" t="s">
        <v>20</v>
      </c>
      <c r="AO8" s="113"/>
      <c r="AP8" s="114">
        <f>AP48</f>
        <v>59547.46410750605</v>
      </c>
      <c r="AQ8" s="114">
        <f>AQ48</f>
        <v>4907.7465866536804</v>
      </c>
      <c r="AR8" s="114">
        <f>AR48</f>
        <v>3927.6047877145438</v>
      </c>
      <c r="AS8" s="114">
        <f>AS47</f>
        <v>11683.362461538463</v>
      </c>
      <c r="AT8" s="114">
        <f>AT51</f>
        <v>-591.10904819214193</v>
      </c>
      <c r="AU8" s="113"/>
      <c r="AV8" s="113" t="s">
        <v>21</v>
      </c>
      <c r="AW8" s="113"/>
      <c r="AX8" s="113"/>
      <c r="AY8" s="113"/>
      <c r="AZ8" s="114">
        <f>AZ48</f>
        <v>3203.7671232000007</v>
      </c>
      <c r="BA8" s="113"/>
      <c r="BB8" s="113"/>
      <c r="BC8" s="113"/>
      <c r="BD8" s="113"/>
      <c r="BE8" s="113"/>
      <c r="BF8" s="113"/>
      <c r="BG8" s="113"/>
      <c r="BH8" s="113"/>
      <c r="BI8" s="113"/>
      <c r="BJ8" s="113"/>
      <c r="BK8" s="113"/>
      <c r="BL8" s="113"/>
    </row>
    <row r="9" spans="1:64" x14ac:dyDescent="0.25">
      <c r="A9" s="17" t="s">
        <v>22</v>
      </c>
      <c r="B9" t="s">
        <v>23</v>
      </c>
      <c r="C9" t="s">
        <v>23</v>
      </c>
      <c r="D9" s="1" t="s">
        <v>23</v>
      </c>
      <c r="E9" s="1" t="s">
        <v>23</v>
      </c>
      <c r="F9" s="1" t="s">
        <v>23</v>
      </c>
      <c r="G9" t="s">
        <v>24</v>
      </c>
      <c r="H9" s="1" t="s">
        <v>24</v>
      </c>
      <c r="I9" s="2" t="s">
        <v>25</v>
      </c>
      <c r="J9" s="2" t="s">
        <v>25</v>
      </c>
      <c r="K9" s="2" t="s">
        <v>25</v>
      </c>
      <c r="L9" s="1" t="s">
        <v>26</v>
      </c>
      <c r="M9" s="1" t="s">
        <v>26</v>
      </c>
      <c r="N9" t="s">
        <v>26</v>
      </c>
      <c r="O9" t="s">
        <v>26</v>
      </c>
      <c r="P9" t="s">
        <v>27</v>
      </c>
      <c r="Q9" t="s">
        <v>27</v>
      </c>
      <c r="R9" t="s">
        <v>28</v>
      </c>
      <c r="S9" t="s">
        <v>29</v>
      </c>
      <c r="T9" t="s">
        <v>30</v>
      </c>
      <c r="W9" s="1" t="s">
        <v>247</v>
      </c>
      <c r="X9" s="1" t="s">
        <v>278</v>
      </c>
      <c r="Z9" s="3"/>
      <c r="AB9" t="s">
        <v>23</v>
      </c>
      <c r="AC9" t="s">
        <v>23</v>
      </c>
      <c r="AD9" t="s">
        <v>23</v>
      </c>
      <c r="AE9" t="s">
        <v>24</v>
      </c>
      <c r="AF9" s="4" t="s">
        <v>25</v>
      </c>
      <c r="AG9" t="s">
        <v>247</v>
      </c>
      <c r="AH9" t="s">
        <v>278</v>
      </c>
      <c r="AI9" t="s">
        <v>26</v>
      </c>
      <c r="AJ9" s="1" t="s">
        <v>26</v>
      </c>
      <c r="AK9" t="s">
        <v>26</v>
      </c>
      <c r="AV9" s="109" t="s">
        <v>24</v>
      </c>
      <c r="AW9" s="109" t="s">
        <v>25</v>
      </c>
      <c r="AX9" s="109" t="s">
        <v>25</v>
      </c>
      <c r="AY9" s="109" t="s">
        <v>25</v>
      </c>
      <c r="AZ9" s="109" t="s">
        <v>25</v>
      </c>
    </row>
    <row r="10" spans="1:64" ht="154.5" x14ac:dyDescent="0.25">
      <c r="A10" s="18" t="s">
        <v>31</v>
      </c>
      <c r="B10" s="18" t="s">
        <v>32</v>
      </c>
      <c r="C10" s="18" t="s">
        <v>33</v>
      </c>
      <c r="D10" s="19" t="s">
        <v>34</v>
      </c>
      <c r="E10" s="19" t="s">
        <v>35</v>
      </c>
      <c r="F10" s="19" t="s">
        <v>36</v>
      </c>
      <c r="G10" s="18" t="s">
        <v>37</v>
      </c>
      <c r="H10" s="19" t="s">
        <v>38</v>
      </c>
      <c r="I10" s="20" t="s">
        <v>39</v>
      </c>
      <c r="J10" s="20" t="s">
        <v>40</v>
      </c>
      <c r="K10" s="20" t="s">
        <v>41</v>
      </c>
      <c r="L10" s="19" t="s">
        <v>42</v>
      </c>
      <c r="M10" s="19" t="s">
        <v>43</v>
      </c>
      <c r="N10" s="18" t="s">
        <v>44</v>
      </c>
      <c r="O10" s="18" t="s">
        <v>45</v>
      </c>
      <c r="P10" s="18" t="s">
        <v>46</v>
      </c>
      <c r="Q10" s="18" t="s">
        <v>47</v>
      </c>
      <c r="R10" s="18" t="s">
        <v>48</v>
      </c>
      <c r="S10" s="18" t="s">
        <v>29</v>
      </c>
      <c r="T10" s="18" t="s">
        <v>49</v>
      </c>
      <c r="U10" s="18" t="s">
        <v>50</v>
      </c>
      <c r="V10" s="56" t="s">
        <v>275</v>
      </c>
      <c r="W10" s="19" t="s">
        <v>51</v>
      </c>
      <c r="X10" s="19" t="s">
        <v>52</v>
      </c>
      <c r="Y10" s="19" t="s">
        <v>271</v>
      </c>
      <c r="Z10" s="53" t="s">
        <v>53</v>
      </c>
      <c r="AA10" s="18" t="s">
        <v>54</v>
      </c>
      <c r="AB10" s="18" t="s">
        <v>442</v>
      </c>
      <c r="AC10" s="19" t="s">
        <v>443</v>
      </c>
      <c r="AD10" s="19" t="s">
        <v>55</v>
      </c>
      <c r="AE10" s="54" t="s">
        <v>274</v>
      </c>
      <c r="AF10" s="21" t="s">
        <v>56</v>
      </c>
      <c r="AG10" s="22" t="s">
        <v>57</v>
      </c>
      <c r="AH10" s="22" t="s">
        <v>58</v>
      </c>
      <c r="AI10" s="18" t="s">
        <v>59</v>
      </c>
      <c r="AJ10" s="19" t="s">
        <v>60</v>
      </c>
      <c r="AK10" s="18" t="s">
        <v>61</v>
      </c>
      <c r="AL10" s="18" t="s">
        <v>381</v>
      </c>
      <c r="AM10" s="18"/>
      <c r="AN10" s="115" t="s">
        <v>62</v>
      </c>
      <c r="AO10" s="115" t="s">
        <v>63</v>
      </c>
      <c r="AP10" s="115" t="s">
        <v>5</v>
      </c>
      <c r="AQ10" s="115" t="s">
        <v>64</v>
      </c>
      <c r="AR10" s="115" t="s">
        <v>65</v>
      </c>
      <c r="AS10" s="115" t="s">
        <v>61</v>
      </c>
      <c r="AU10" s="115" t="s">
        <v>441</v>
      </c>
      <c r="AV10" s="115" t="s">
        <v>66</v>
      </c>
      <c r="AW10" s="115" t="s">
        <v>67</v>
      </c>
      <c r="AX10" s="115" t="s">
        <v>68</v>
      </c>
      <c r="AY10" s="115" t="s">
        <v>69</v>
      </c>
      <c r="AZ10" s="115" t="s">
        <v>112</v>
      </c>
      <c r="BA10" s="115"/>
      <c r="BB10" s="115"/>
      <c r="BC10" s="115"/>
      <c r="BD10" s="115"/>
    </row>
    <row r="11" spans="1:64" x14ac:dyDescent="0.25">
      <c r="A11" t="s">
        <v>70</v>
      </c>
      <c r="B11" s="1">
        <v>15257</v>
      </c>
      <c r="C11">
        <f>B11*0.5</f>
        <v>7628.5</v>
      </c>
      <c r="D11" s="1">
        <v>492</v>
      </c>
      <c r="E11" s="1">
        <f>B11-C11</f>
        <v>7628.5</v>
      </c>
      <c r="F11" s="23">
        <f>C11</f>
        <v>7628.5</v>
      </c>
      <c r="G11">
        <v>0.51600000000000001</v>
      </c>
      <c r="H11" s="1">
        <v>0.66</v>
      </c>
      <c r="I11" s="2">
        <f t="shared" ref="I11:I23" si="1">C11*G11</f>
        <v>3936.306</v>
      </c>
      <c r="J11" s="24">
        <f t="shared" ref="J11:J23" si="2">D11*H11</f>
        <v>324.72000000000003</v>
      </c>
      <c r="K11" s="24">
        <f t="shared" ref="K11:K44" si="3">I11+J11</f>
        <v>4261.0259999999998</v>
      </c>
      <c r="L11" s="1">
        <v>2000</v>
      </c>
      <c r="M11" s="1"/>
      <c r="P11" s="25">
        <f>L11/B11</f>
        <v>0.13108736973192633</v>
      </c>
      <c r="Q11" s="25"/>
      <c r="R11">
        <v>3000</v>
      </c>
      <c r="S11">
        <v>70</v>
      </c>
      <c r="T11">
        <v>1</v>
      </c>
      <c r="U11">
        <v>0.4</v>
      </c>
      <c r="V11">
        <v>0.6</v>
      </c>
      <c r="W11" s="26">
        <f t="shared" ref="W11:W43" si="4">(R11*F11)*(CONSTOT/RDCTOT)/62.5/365</f>
        <v>717.47376388119596</v>
      </c>
      <c r="X11" s="26">
        <f t="shared" ref="X11:X44" si="5">S11*F11*CONSTOT/RDCTOT/62.5/365</f>
        <v>16.74105449056124</v>
      </c>
      <c r="Y11">
        <v>0.6</v>
      </c>
      <c r="Z11" s="27">
        <v>1</v>
      </c>
      <c r="AA11">
        <v>1</v>
      </c>
      <c r="AB11" s="28">
        <f>(F11*Z11*AA11)*SCENARIOPOP/62.5</f>
        <v>8714.7983999999997</v>
      </c>
      <c r="AC11" s="1">
        <f t="shared" ref="AC11:AC34" si="6">(F11*Z11*(1-AA11))*SCENARIOPOP/62.5</f>
        <v>0</v>
      </c>
      <c r="AD11" s="23">
        <f>(AB11+AC11)</f>
        <v>8714.7983999999997</v>
      </c>
      <c r="AE11" s="55">
        <v>0.154</v>
      </c>
      <c r="AF11" s="30">
        <f>(C11*G11+D11*H11)*Z11</f>
        <v>4261.0259999999998</v>
      </c>
      <c r="AG11" s="28">
        <f t="shared" ref="AG11:AG42" si="7">AD11*R11*CONSTOT/RDCTOT/64/365</f>
        <v>800.43166782995922</v>
      </c>
      <c r="AH11" s="28">
        <f t="shared" ref="AH11:AH42" si="8">AD11*S11*CONSTOT/RDCTOT/64/365</f>
        <v>18.676738916032384</v>
      </c>
      <c r="AI11" s="28">
        <f>L11*Z11</f>
        <v>2000</v>
      </c>
      <c r="AJ11" s="29">
        <f>M11*Z11</f>
        <v>0</v>
      </c>
      <c r="AL11">
        <f>AC11*AF11</f>
        <v>0</v>
      </c>
      <c r="AN11" s="109">
        <v>1.31</v>
      </c>
      <c r="AO11" s="109">
        <v>0.6</v>
      </c>
      <c r="AP11" s="116">
        <f t="shared" ref="AP11:AP31" si="9">AF11*AO11</f>
        <v>2556.6155999999996</v>
      </c>
      <c r="AQ11" s="109">
        <f t="shared" ref="AQ11:AQ31" si="10">(AI11)/AN11</f>
        <v>1526.7175572519084</v>
      </c>
      <c r="AR11" s="109">
        <f t="shared" ref="AR11:AR31" si="11">AJ11/AN11</f>
        <v>0</v>
      </c>
      <c r="AS11" s="109">
        <f t="shared" ref="AS11:AS31" si="12">AK11/AN11</f>
        <v>0</v>
      </c>
      <c r="AU11" s="117">
        <f>AE11*AO11</f>
        <v>9.2399999999999996E-2</v>
      </c>
      <c r="AV11" s="109">
        <v>0.5</v>
      </c>
      <c r="AW11" s="109">
        <f>F11*AV11</f>
        <v>3814.25</v>
      </c>
      <c r="AX11" s="109">
        <f t="shared" ref="AX11:AX44" si="13">I11+J11+(AV11*F11)</f>
        <v>8075.2759999999998</v>
      </c>
      <c r="AY11" s="109">
        <f t="shared" ref="AY11:AY43" si="14">AV11*AD11</f>
        <v>4357.3991999999998</v>
      </c>
      <c r="AZ11" s="116">
        <f t="shared" ref="AZ11:AZ43" si="15">AV11*AC11</f>
        <v>0</v>
      </c>
      <c r="BB11" s="116" t="s">
        <v>472</v>
      </c>
      <c r="BC11" s="116">
        <v>7226428</v>
      </c>
      <c r="BD11" s="116">
        <f>BC11/1000</f>
        <v>7226.4279999999999</v>
      </c>
      <c r="BF11" s="109">
        <f>G11*Z11*F11</f>
        <v>3936.306</v>
      </c>
      <c r="BH11" s="109">
        <f>F11*(P11+Q11)</f>
        <v>1000</v>
      </c>
    </row>
    <row r="12" spans="1:64" x14ac:dyDescent="0.25">
      <c r="A12" t="s">
        <v>71</v>
      </c>
      <c r="B12" s="1">
        <v>5494</v>
      </c>
      <c r="C12">
        <v>1769</v>
      </c>
      <c r="D12" s="1"/>
      <c r="E12" s="1">
        <v>3070</v>
      </c>
      <c r="F12" s="23">
        <f t="shared" ref="F12:F44" si="16">C12+D12</f>
        <v>1769</v>
      </c>
      <c r="G12">
        <v>0.4</v>
      </c>
      <c r="H12" s="1">
        <v>0.35</v>
      </c>
      <c r="I12" s="24">
        <f t="shared" si="1"/>
        <v>707.6</v>
      </c>
      <c r="J12" s="24">
        <f t="shared" si="2"/>
        <v>0</v>
      </c>
      <c r="K12" s="24">
        <f t="shared" si="3"/>
        <v>707.6</v>
      </c>
      <c r="L12" s="1">
        <v>1000</v>
      </c>
      <c r="M12" s="1">
        <v>0</v>
      </c>
      <c r="P12" s="25">
        <f t="shared" ref="P12:P23" si="17">L12/B12</f>
        <v>0.18201674554058975</v>
      </c>
      <c r="R12">
        <v>3000</v>
      </c>
      <c r="S12">
        <v>70</v>
      </c>
      <c r="T12">
        <v>1</v>
      </c>
      <c r="U12">
        <v>0.36</v>
      </c>
      <c r="V12">
        <v>0.64</v>
      </c>
      <c r="W12" s="26">
        <f t="shared" si="4"/>
        <v>166.37754320060768</v>
      </c>
      <c r="X12" s="26">
        <f t="shared" si="5"/>
        <v>3.8821426746808454</v>
      </c>
      <c r="Y12">
        <v>0.9</v>
      </c>
      <c r="Z12" s="27">
        <v>1</v>
      </c>
      <c r="AA12">
        <v>1</v>
      </c>
      <c r="AB12" s="28">
        <f>(F12*Z12*AA12)</f>
        <v>1769</v>
      </c>
      <c r="AC12" s="1">
        <f t="shared" si="6"/>
        <v>0</v>
      </c>
      <c r="AD12" s="23">
        <f t="shared" ref="AD12:AD42" si="18">(AB12+AC12)</f>
        <v>1769</v>
      </c>
      <c r="AE12" s="55">
        <f>((G12*V12)-(0.613*P12))/2+(0.613*P12)</f>
        <v>0.18378813250819076</v>
      </c>
      <c r="AF12" s="30">
        <f t="shared" ref="AF12:AF42" si="19">(C12*G12+D12*H12)*Z12</f>
        <v>707.6</v>
      </c>
      <c r="AG12" s="28">
        <f t="shared" si="7"/>
        <v>162.47806953184343</v>
      </c>
      <c r="AH12" s="28">
        <f t="shared" si="8"/>
        <v>3.7911549557430133</v>
      </c>
      <c r="AI12" s="28">
        <f t="shared" ref="AI12:AI42" si="20">L12*Z12</f>
        <v>1000</v>
      </c>
      <c r="AJ12" s="29">
        <f t="shared" ref="AJ12:AJ42" si="21">M12*Z12</f>
        <v>0</v>
      </c>
      <c r="AN12" s="109">
        <v>1.31</v>
      </c>
      <c r="AO12" s="109">
        <v>0.6</v>
      </c>
      <c r="AP12" s="116">
        <f t="shared" si="9"/>
        <v>424.56</v>
      </c>
      <c r="AQ12" s="109">
        <f t="shared" si="10"/>
        <v>763.35877862595419</v>
      </c>
      <c r="AR12" s="109">
        <f t="shared" si="11"/>
        <v>0</v>
      </c>
      <c r="AS12" s="109">
        <f t="shared" si="12"/>
        <v>0</v>
      </c>
      <c r="AU12" s="117">
        <f t="shared" ref="AU12:AU42" si="22">AE12*AO12</f>
        <v>0.11027287950491445</v>
      </c>
      <c r="AV12" s="109">
        <v>0.56999999999999995</v>
      </c>
      <c r="AW12" s="109">
        <f t="shared" ref="AW12:AW23" si="23">AV12*F12</f>
        <v>1008.3299999999999</v>
      </c>
      <c r="AX12" s="109">
        <f t="shared" si="13"/>
        <v>1715.9299999999998</v>
      </c>
      <c r="AY12" s="109">
        <f t="shared" si="14"/>
        <v>1008.3299999999999</v>
      </c>
      <c r="AZ12" s="116">
        <f t="shared" si="15"/>
        <v>0</v>
      </c>
      <c r="BB12" s="116" t="s">
        <v>473</v>
      </c>
      <c r="BC12" s="116">
        <v>1012285</v>
      </c>
      <c r="BD12" s="116">
        <f t="shared" ref="BD12:BD32" si="24">BC12/1000</f>
        <v>1012.285</v>
      </c>
      <c r="BF12" s="109">
        <f t="shared" ref="BF12:BF44" si="25">G12*Z12*F12</f>
        <v>707.6</v>
      </c>
      <c r="BH12" s="109">
        <f>F12*(P12+Q12)</f>
        <v>321.98762286130324</v>
      </c>
    </row>
    <row r="13" spans="1:64" x14ac:dyDescent="0.25">
      <c r="A13" t="s">
        <v>72</v>
      </c>
      <c r="B13" s="1">
        <v>685</v>
      </c>
      <c r="C13">
        <v>418</v>
      </c>
      <c r="D13" s="1"/>
      <c r="E13" s="1">
        <v>238</v>
      </c>
      <c r="F13" s="23">
        <f t="shared" si="16"/>
        <v>418</v>
      </c>
      <c r="G13">
        <v>0.38</v>
      </c>
      <c r="H13" s="1">
        <v>0.12</v>
      </c>
      <c r="I13" s="24">
        <f t="shared" si="1"/>
        <v>158.84</v>
      </c>
      <c r="J13" s="24">
        <f t="shared" si="2"/>
        <v>0</v>
      </c>
      <c r="K13" s="24">
        <f t="shared" si="3"/>
        <v>158.84</v>
      </c>
      <c r="L13" s="1">
        <v>91</v>
      </c>
      <c r="M13" s="1">
        <v>0</v>
      </c>
      <c r="P13" s="25">
        <f t="shared" si="17"/>
        <v>0.13284671532846715</v>
      </c>
      <c r="R13">
        <v>3000</v>
      </c>
      <c r="S13">
        <v>70</v>
      </c>
      <c r="T13">
        <v>1</v>
      </c>
      <c r="U13">
        <v>0.36</v>
      </c>
      <c r="V13">
        <v>0.64</v>
      </c>
      <c r="W13" s="26">
        <f t="shared" si="4"/>
        <v>39.313630897599779</v>
      </c>
      <c r="X13" s="26">
        <f t="shared" si="5"/>
        <v>0.91731805427732815</v>
      </c>
      <c r="Y13">
        <v>3</v>
      </c>
      <c r="Z13" s="27">
        <v>1</v>
      </c>
      <c r="AA13">
        <v>1</v>
      </c>
      <c r="AB13" s="28">
        <f t="shared" ref="AB13:AB34" si="26">(F13*Z13*AA13)*SCENARIOPOP/62.5</f>
        <v>477.52320000000003</v>
      </c>
      <c r="AC13" s="1">
        <f t="shared" si="6"/>
        <v>0</v>
      </c>
      <c r="AD13" s="23">
        <f t="shared" si="18"/>
        <v>477.52320000000003</v>
      </c>
      <c r="AE13" s="55">
        <f t="shared" ref="AE13:AE33" si="27">((G13*V13)-(0.613*P13))/2+(0.613*P13)</f>
        <v>0.1623175182481752</v>
      </c>
      <c r="AF13" s="30">
        <f t="shared" si="19"/>
        <v>158.84</v>
      </c>
      <c r="AG13" s="28">
        <f t="shared" si="7"/>
        <v>43.859269470134763</v>
      </c>
      <c r="AH13" s="28">
        <f t="shared" si="8"/>
        <v>1.0233829543031445</v>
      </c>
      <c r="AI13" s="28">
        <f t="shared" si="20"/>
        <v>91</v>
      </c>
      <c r="AJ13" s="29">
        <f t="shared" si="21"/>
        <v>0</v>
      </c>
      <c r="AN13" s="109">
        <v>1.31</v>
      </c>
      <c r="AO13" s="109">
        <v>0.6</v>
      </c>
      <c r="AP13" s="116">
        <f t="shared" si="9"/>
        <v>95.304000000000002</v>
      </c>
      <c r="AQ13" s="109">
        <f t="shared" si="10"/>
        <v>69.465648854961827</v>
      </c>
      <c r="AR13" s="109">
        <f t="shared" si="11"/>
        <v>0</v>
      </c>
      <c r="AS13" s="109">
        <f t="shared" si="12"/>
        <v>0</v>
      </c>
      <c r="AU13" s="117">
        <f t="shared" si="22"/>
        <v>9.7390510948905121E-2</v>
      </c>
      <c r="AV13" s="109">
        <v>0.56999999999999995</v>
      </c>
      <c r="AW13" s="109">
        <f t="shared" si="23"/>
        <v>238.26</v>
      </c>
      <c r="AX13" s="109">
        <f t="shared" si="13"/>
        <v>397.1</v>
      </c>
      <c r="AY13" s="109">
        <f t="shared" si="14"/>
        <v>272.18822399999999</v>
      </c>
      <c r="AZ13" s="116">
        <f t="shared" si="15"/>
        <v>0</v>
      </c>
      <c r="BB13" s="116" t="s">
        <v>474</v>
      </c>
      <c r="BC13" s="116">
        <v>3224537</v>
      </c>
      <c r="BD13" s="116">
        <f t="shared" si="24"/>
        <v>3224.5369999999998</v>
      </c>
      <c r="BE13" s="116">
        <f>(BD11+BD13)/(F11+F12+F13)</f>
        <v>1.0647409709133513</v>
      </c>
      <c r="BF13" s="109">
        <f t="shared" si="25"/>
        <v>158.84</v>
      </c>
      <c r="BH13" s="109">
        <f t="shared" ref="BH13:BH41" si="28">F13*(P13+Q13)</f>
        <v>55.529927007299264</v>
      </c>
    </row>
    <row r="14" spans="1:64" x14ac:dyDescent="0.25">
      <c r="A14" t="s">
        <v>73</v>
      </c>
      <c r="B14" s="1"/>
      <c r="D14" s="1">
        <v>300</v>
      </c>
      <c r="E14" s="1"/>
      <c r="F14" s="23">
        <f t="shared" si="16"/>
        <v>300</v>
      </c>
      <c r="G14">
        <v>0.37</v>
      </c>
      <c r="H14" s="1">
        <v>0.49</v>
      </c>
      <c r="I14" s="24">
        <f t="shared" si="1"/>
        <v>0</v>
      </c>
      <c r="J14" s="24">
        <f t="shared" si="2"/>
        <v>147</v>
      </c>
      <c r="K14" s="24">
        <f t="shared" si="3"/>
        <v>147</v>
      </c>
      <c r="L14" s="1">
        <v>122</v>
      </c>
      <c r="M14" s="1"/>
      <c r="P14" s="25">
        <f>L14/D14</f>
        <v>0.40666666666666668</v>
      </c>
      <c r="R14">
        <v>3000</v>
      </c>
      <c r="S14">
        <v>70</v>
      </c>
      <c r="T14">
        <v>1</v>
      </c>
      <c r="U14">
        <v>0.36</v>
      </c>
      <c r="V14">
        <v>0.64</v>
      </c>
      <c r="W14" s="26">
        <f t="shared" si="4"/>
        <v>28.215524567655343</v>
      </c>
      <c r="X14" s="26">
        <f t="shared" si="5"/>
        <v>0.65836223991195808</v>
      </c>
      <c r="Y14">
        <v>1.5</v>
      </c>
      <c r="Z14" s="27">
        <v>1</v>
      </c>
      <c r="AA14">
        <v>1</v>
      </c>
      <c r="AB14" s="28">
        <f t="shared" si="26"/>
        <v>342.72</v>
      </c>
      <c r="AC14" s="1">
        <f t="shared" si="6"/>
        <v>0</v>
      </c>
      <c r="AD14" s="23">
        <f t="shared" si="18"/>
        <v>342.72</v>
      </c>
      <c r="AE14" s="55">
        <f t="shared" si="27"/>
        <v>0.24304333333333333</v>
      </c>
      <c r="AF14" s="30">
        <f t="shared" si="19"/>
        <v>147</v>
      </c>
      <c r="AG14" s="28">
        <f t="shared" si="7"/>
        <v>31.4779445957905</v>
      </c>
      <c r="AH14" s="28">
        <f t="shared" si="8"/>
        <v>0.73448537390177826</v>
      </c>
      <c r="AI14" s="28">
        <f t="shared" si="20"/>
        <v>122</v>
      </c>
      <c r="AJ14" s="29">
        <f t="shared" si="21"/>
        <v>0</v>
      </c>
      <c r="AL14" s="31"/>
      <c r="AM14" s="31"/>
      <c r="AN14" s="109">
        <v>1.31</v>
      </c>
      <c r="AO14" s="109">
        <v>0.6</v>
      </c>
      <c r="AP14" s="116">
        <f t="shared" si="9"/>
        <v>88.2</v>
      </c>
      <c r="AQ14" s="109">
        <f t="shared" si="10"/>
        <v>93.129770992366403</v>
      </c>
      <c r="AR14" s="109">
        <f t="shared" si="11"/>
        <v>0</v>
      </c>
      <c r="AS14" s="109">
        <f t="shared" si="12"/>
        <v>0</v>
      </c>
      <c r="AU14" s="117">
        <f t="shared" si="22"/>
        <v>0.14582599999999998</v>
      </c>
      <c r="AV14" s="109">
        <v>1.37</v>
      </c>
      <c r="AW14" s="109">
        <f t="shared" si="23"/>
        <v>411.00000000000006</v>
      </c>
      <c r="AX14" s="109">
        <f t="shared" si="13"/>
        <v>558</v>
      </c>
      <c r="AY14" s="109">
        <f t="shared" si="14"/>
        <v>469.52640000000008</v>
      </c>
      <c r="AZ14" s="116">
        <f t="shared" si="15"/>
        <v>0</v>
      </c>
      <c r="BB14" s="116" t="s">
        <v>475</v>
      </c>
      <c r="BC14" s="116">
        <v>4275327</v>
      </c>
      <c r="BD14" s="116">
        <f t="shared" si="24"/>
        <v>4275.3270000000002</v>
      </c>
      <c r="BF14" s="109">
        <f t="shared" si="25"/>
        <v>111</v>
      </c>
      <c r="BH14" s="109">
        <f t="shared" si="28"/>
        <v>122</v>
      </c>
    </row>
    <row r="15" spans="1:64" x14ac:dyDescent="0.25">
      <c r="A15" t="s">
        <v>74</v>
      </c>
      <c r="B15" s="1">
        <v>2758</v>
      </c>
      <c r="C15">
        <f>B15-E15</f>
        <v>1958</v>
      </c>
      <c r="D15" s="1"/>
      <c r="E15" s="1">
        <v>800</v>
      </c>
      <c r="F15" s="23">
        <f t="shared" si="16"/>
        <v>1958</v>
      </c>
      <c r="G15">
        <v>1.05</v>
      </c>
      <c r="H15" s="1"/>
      <c r="I15" s="24">
        <f t="shared" si="1"/>
        <v>2055.9</v>
      </c>
      <c r="J15" s="24">
        <f t="shared" si="2"/>
        <v>0</v>
      </c>
      <c r="K15" s="24">
        <f t="shared" si="3"/>
        <v>2055.9</v>
      </c>
      <c r="L15" s="1">
        <v>750</v>
      </c>
      <c r="M15" s="1">
        <v>0</v>
      </c>
      <c r="P15" s="25">
        <f t="shared" si="17"/>
        <v>0.27193618564176941</v>
      </c>
      <c r="R15">
        <v>9000</v>
      </c>
      <c r="S15">
        <v>17</v>
      </c>
      <c r="T15">
        <v>10</v>
      </c>
      <c r="U15">
        <v>0.3</v>
      </c>
      <c r="V15">
        <v>0.7</v>
      </c>
      <c r="W15" s="26">
        <f t="shared" si="4"/>
        <v>552.45997103469153</v>
      </c>
      <c r="X15" s="26">
        <f t="shared" si="5"/>
        <v>1.0435355008433065</v>
      </c>
      <c r="Y15">
        <v>0.7</v>
      </c>
      <c r="Z15" s="27">
        <v>1</v>
      </c>
      <c r="AA15">
        <v>1</v>
      </c>
      <c r="AB15" s="28">
        <f t="shared" si="26"/>
        <v>2236.8192000000004</v>
      </c>
      <c r="AC15" s="1">
        <f t="shared" si="6"/>
        <v>0</v>
      </c>
      <c r="AD15" s="23">
        <f t="shared" si="18"/>
        <v>2236.8192000000004</v>
      </c>
      <c r="AE15" s="55">
        <f t="shared" si="27"/>
        <v>0.45084844089920234</v>
      </c>
      <c r="AF15" s="30">
        <f t="shared" si="19"/>
        <v>2055.9</v>
      </c>
      <c r="AG15" s="28">
        <f t="shared" si="7"/>
        <v>616.33815518557799</v>
      </c>
      <c r="AH15" s="28">
        <f t="shared" si="8"/>
        <v>1.164194293128314</v>
      </c>
      <c r="AI15" s="28">
        <f t="shared" si="20"/>
        <v>750</v>
      </c>
      <c r="AJ15" s="29">
        <f t="shared" si="21"/>
        <v>0</v>
      </c>
      <c r="AN15" s="109">
        <v>1.23</v>
      </c>
      <c r="AO15" s="109">
        <v>0.6</v>
      </c>
      <c r="AP15" s="116">
        <f t="shared" si="9"/>
        <v>1233.54</v>
      </c>
      <c r="AQ15" s="109">
        <f t="shared" si="10"/>
        <v>609.7560975609756</v>
      </c>
      <c r="AR15" s="109">
        <f t="shared" si="11"/>
        <v>0</v>
      </c>
      <c r="AS15" s="109">
        <f t="shared" si="12"/>
        <v>0</v>
      </c>
      <c r="AU15" s="117">
        <f t="shared" si="22"/>
        <v>0.27050906453952139</v>
      </c>
      <c r="AV15" s="109">
        <v>0.79</v>
      </c>
      <c r="AW15" s="109">
        <f t="shared" si="23"/>
        <v>1546.8200000000002</v>
      </c>
      <c r="AX15" s="109">
        <f t="shared" si="13"/>
        <v>3602.7200000000003</v>
      </c>
      <c r="AY15" s="109">
        <f t="shared" si="14"/>
        <v>1767.0871680000005</v>
      </c>
      <c r="AZ15" s="116">
        <f t="shared" si="15"/>
        <v>0</v>
      </c>
      <c r="BB15" s="116" t="s">
        <v>476</v>
      </c>
      <c r="BC15" s="116">
        <v>17668971</v>
      </c>
      <c r="BD15" s="116">
        <f t="shared" si="24"/>
        <v>17668.971000000001</v>
      </c>
      <c r="BF15" s="109">
        <f t="shared" si="25"/>
        <v>2055.9</v>
      </c>
      <c r="BH15" s="109">
        <f t="shared" si="28"/>
        <v>532.45105148658456</v>
      </c>
    </row>
    <row r="16" spans="1:64" x14ac:dyDescent="0.25">
      <c r="A16" t="s">
        <v>75</v>
      </c>
      <c r="B16" s="1">
        <v>8504</v>
      </c>
      <c r="C16">
        <f>B16-E16</f>
        <v>5493.68</v>
      </c>
      <c r="D16" s="23">
        <v>618.18181818181802</v>
      </c>
      <c r="E16" s="23">
        <f>(B16*0.33)+(D16*0.33)</f>
        <v>3010.32</v>
      </c>
      <c r="F16" s="23">
        <f>C16+D16*0.67</f>
        <v>5907.8618181818183</v>
      </c>
      <c r="G16">
        <v>0.1</v>
      </c>
      <c r="H16" s="1"/>
      <c r="I16" s="24">
        <f t="shared" si="1"/>
        <v>549.36800000000005</v>
      </c>
      <c r="J16" s="24">
        <f t="shared" si="2"/>
        <v>0</v>
      </c>
      <c r="K16" s="24">
        <f t="shared" si="3"/>
        <v>549.36800000000005</v>
      </c>
      <c r="L16" s="1">
        <v>120</v>
      </c>
      <c r="M16" s="1">
        <f>(L16*1.2)-L16</f>
        <v>24</v>
      </c>
      <c r="P16" s="25">
        <f t="shared" si="17"/>
        <v>1.4111006585136407E-2</v>
      </c>
      <c r="R16">
        <v>5000</v>
      </c>
      <c r="S16">
        <v>12</v>
      </c>
      <c r="T16">
        <v>15</v>
      </c>
      <c r="U16">
        <v>0.61</v>
      </c>
      <c r="V16">
        <v>0.39</v>
      </c>
      <c r="W16" s="26">
        <f t="shared" si="4"/>
        <v>926.07455707345582</v>
      </c>
      <c r="X16" s="26">
        <f t="shared" si="5"/>
        <v>2.2225789369762943</v>
      </c>
      <c r="Y16">
        <v>0.6</v>
      </c>
      <c r="Z16" s="27">
        <v>1</v>
      </c>
      <c r="AA16">
        <v>1</v>
      </c>
      <c r="AB16" s="28">
        <f t="shared" si="26"/>
        <v>6749.1413410909099</v>
      </c>
      <c r="AC16" s="1">
        <f t="shared" si="6"/>
        <v>0</v>
      </c>
      <c r="AD16" s="23">
        <f t="shared" si="18"/>
        <v>6749.1413410909099</v>
      </c>
      <c r="AE16" s="55">
        <f t="shared" si="27"/>
        <v>2.3825023518344313E-2</v>
      </c>
      <c r="AF16" s="30">
        <f t="shared" si="19"/>
        <v>549.36800000000005</v>
      </c>
      <c r="AG16" s="28">
        <f t="shared" si="7"/>
        <v>1033.1519277350744</v>
      </c>
      <c r="AH16" s="28">
        <f t="shared" si="8"/>
        <v>2.4795646265641786</v>
      </c>
      <c r="AI16" s="28">
        <f t="shared" si="20"/>
        <v>120</v>
      </c>
      <c r="AJ16" s="29">
        <f t="shared" si="21"/>
        <v>24</v>
      </c>
      <c r="AN16" s="109">
        <v>1.23</v>
      </c>
      <c r="AO16" s="109">
        <v>0.6</v>
      </c>
      <c r="AP16" s="116">
        <f t="shared" si="9"/>
        <v>329.62080000000003</v>
      </c>
      <c r="AQ16" s="109">
        <f t="shared" si="10"/>
        <v>97.560975609756099</v>
      </c>
      <c r="AR16" s="109">
        <f t="shared" si="11"/>
        <v>19.512195121951219</v>
      </c>
      <c r="AS16" s="109">
        <f t="shared" si="12"/>
        <v>0</v>
      </c>
      <c r="AU16" s="117">
        <f t="shared" si="22"/>
        <v>1.4295014111006588E-2</v>
      </c>
      <c r="AV16" s="109">
        <v>0.03</v>
      </c>
      <c r="AW16" s="109">
        <f t="shared" si="23"/>
        <v>177.23585454545454</v>
      </c>
      <c r="AX16" s="109">
        <f t="shared" si="13"/>
        <v>726.60385454545462</v>
      </c>
      <c r="AY16" s="109">
        <f t="shared" si="14"/>
        <v>202.47424023272728</v>
      </c>
      <c r="AZ16" s="116">
        <f t="shared" si="15"/>
        <v>0</v>
      </c>
      <c r="BB16" s="116" t="s">
        <v>477</v>
      </c>
      <c r="BC16" s="116">
        <v>492944</v>
      </c>
      <c r="BD16" s="116">
        <f t="shared" si="24"/>
        <v>492.94400000000002</v>
      </c>
      <c r="BF16" s="109">
        <f t="shared" si="25"/>
        <v>590.78618181818183</v>
      </c>
      <c r="BH16" s="109">
        <f t="shared" si="28"/>
        <v>83.365877020439584</v>
      </c>
    </row>
    <row r="17" spans="1:60" x14ac:dyDescent="0.25">
      <c r="A17" t="s">
        <v>76</v>
      </c>
      <c r="B17" s="1">
        <v>6115</v>
      </c>
      <c r="C17">
        <v>6115</v>
      </c>
      <c r="D17" s="23">
        <v>1219.0476190476193</v>
      </c>
      <c r="E17" s="1">
        <f>B17*0.1</f>
        <v>611.5</v>
      </c>
      <c r="F17" s="23">
        <f>C17-E17+D17</f>
        <v>6722.5476190476193</v>
      </c>
      <c r="G17">
        <v>0.23</v>
      </c>
      <c r="H17" s="1">
        <v>0.48</v>
      </c>
      <c r="I17" s="24">
        <f t="shared" si="1"/>
        <v>1406.45</v>
      </c>
      <c r="J17" s="24">
        <f t="shared" si="2"/>
        <v>585.14285714285722</v>
      </c>
      <c r="K17" s="24">
        <f t="shared" si="3"/>
        <v>1991.5928571428572</v>
      </c>
      <c r="L17" s="1">
        <v>149</v>
      </c>
      <c r="M17" s="1">
        <f>L17*0.16</f>
        <v>23.84</v>
      </c>
      <c r="P17" s="25">
        <f t="shared" si="17"/>
        <v>2.4366312346688471E-2</v>
      </c>
      <c r="R17">
        <v>750</v>
      </c>
      <c r="S17">
        <v>20</v>
      </c>
      <c r="T17">
        <v>1</v>
      </c>
      <c r="U17">
        <v>0.61</v>
      </c>
      <c r="V17">
        <v>0.39</v>
      </c>
      <c r="W17" s="26">
        <f t="shared" si="4"/>
        <v>158.06683958539253</v>
      </c>
      <c r="X17" s="26">
        <f t="shared" si="5"/>
        <v>4.2151157222771349</v>
      </c>
      <c r="Y17">
        <v>1</v>
      </c>
      <c r="Z17" s="27">
        <v>1</v>
      </c>
      <c r="AA17">
        <v>1</v>
      </c>
      <c r="AB17" s="28">
        <f t="shared" si="26"/>
        <v>7679.8384000000015</v>
      </c>
      <c r="AC17" s="1">
        <f t="shared" si="6"/>
        <v>0</v>
      </c>
      <c r="AD17" s="23">
        <f t="shared" si="18"/>
        <v>7679.8384000000015</v>
      </c>
      <c r="AE17" s="55">
        <f t="shared" si="27"/>
        <v>5.2318274734260012E-2</v>
      </c>
      <c r="AF17" s="30">
        <f t="shared" si="19"/>
        <v>1991.5928571428572</v>
      </c>
      <c r="AG17" s="28">
        <f t="shared" si="7"/>
        <v>176.34331791245359</v>
      </c>
      <c r="AH17" s="28">
        <f t="shared" si="8"/>
        <v>4.7024884776654288</v>
      </c>
      <c r="AI17" s="28">
        <f t="shared" si="20"/>
        <v>149</v>
      </c>
      <c r="AJ17" s="29">
        <f t="shared" si="21"/>
        <v>23.84</v>
      </c>
      <c r="AN17" s="109">
        <v>1.35</v>
      </c>
      <c r="AO17" s="109">
        <v>0.6</v>
      </c>
      <c r="AP17" s="116">
        <f t="shared" si="9"/>
        <v>1194.9557142857143</v>
      </c>
      <c r="AQ17" s="109">
        <f t="shared" si="10"/>
        <v>110.37037037037037</v>
      </c>
      <c r="AR17" s="109">
        <f t="shared" si="11"/>
        <v>17.659259259259258</v>
      </c>
      <c r="AS17" s="109">
        <f t="shared" si="12"/>
        <v>0</v>
      </c>
      <c r="AU17" s="117">
        <f t="shared" si="22"/>
        <v>3.1390964840556007E-2</v>
      </c>
      <c r="AV17" s="109">
        <v>0.08</v>
      </c>
      <c r="AW17" s="109">
        <f t="shared" si="23"/>
        <v>537.8038095238096</v>
      </c>
      <c r="AX17" s="109">
        <f t="shared" si="13"/>
        <v>2529.3966666666665</v>
      </c>
      <c r="AY17" s="109">
        <f t="shared" si="14"/>
        <v>614.3870720000001</v>
      </c>
      <c r="AZ17" s="116">
        <f t="shared" si="15"/>
        <v>0</v>
      </c>
      <c r="BB17" s="116" t="s">
        <v>478</v>
      </c>
      <c r="BC17" s="116">
        <v>11254020</v>
      </c>
      <c r="BD17" s="116">
        <f t="shared" si="24"/>
        <v>11254.02</v>
      </c>
      <c r="BF17" s="109">
        <f t="shared" si="25"/>
        <v>1546.1859523809526</v>
      </c>
      <c r="BH17" s="109">
        <f t="shared" si="28"/>
        <v>163.80369505120117</v>
      </c>
    </row>
    <row r="18" spans="1:60" x14ac:dyDescent="0.25">
      <c r="A18" t="s">
        <v>77</v>
      </c>
      <c r="B18" s="1">
        <v>420</v>
      </c>
      <c r="C18">
        <v>144.4</v>
      </c>
      <c r="D18" s="23"/>
      <c r="E18" s="1"/>
      <c r="F18" s="23">
        <f t="shared" si="16"/>
        <v>144.4</v>
      </c>
      <c r="G18">
        <v>0.51</v>
      </c>
      <c r="H18" s="1">
        <v>0.61</v>
      </c>
      <c r="I18" s="24">
        <f t="shared" si="1"/>
        <v>73.644000000000005</v>
      </c>
      <c r="J18" s="24">
        <f t="shared" si="2"/>
        <v>0</v>
      </c>
      <c r="K18" s="24">
        <f t="shared" si="3"/>
        <v>73.644000000000005</v>
      </c>
      <c r="L18" s="1">
        <v>190</v>
      </c>
      <c r="M18" s="1">
        <v>0</v>
      </c>
      <c r="P18" s="25">
        <v>0.27</v>
      </c>
      <c r="R18">
        <v>3500</v>
      </c>
      <c r="S18">
        <v>220</v>
      </c>
      <c r="T18">
        <v>-6.5</v>
      </c>
      <c r="U18">
        <v>0.3</v>
      </c>
      <c r="V18">
        <v>0.7</v>
      </c>
      <c r="W18" s="26">
        <f t="shared" si="4"/>
        <v>15.844584573881125</v>
      </c>
      <c r="X18" s="26">
        <f t="shared" si="5"/>
        <v>0.99594531607252779</v>
      </c>
      <c r="Y18">
        <v>5</v>
      </c>
      <c r="Z18" s="27">
        <v>1</v>
      </c>
      <c r="AA18" s="64">
        <v>0.9</v>
      </c>
      <c r="AB18" s="28">
        <f t="shared" si="26"/>
        <v>148.46630400000004</v>
      </c>
      <c r="AC18" s="1">
        <f t="shared" si="6"/>
        <v>16.496255999999999</v>
      </c>
      <c r="AD18" s="23">
        <f t="shared" si="18"/>
        <v>164.96256000000002</v>
      </c>
      <c r="AE18" s="55">
        <f t="shared" si="27"/>
        <v>0.26125500000000001</v>
      </c>
      <c r="AF18" s="30">
        <f t="shared" si="19"/>
        <v>73.644000000000005</v>
      </c>
      <c r="AG18" s="28">
        <f t="shared" si="7"/>
        <v>17.676614665236134</v>
      </c>
      <c r="AH18" s="28">
        <f t="shared" si="8"/>
        <v>1.111101493243414</v>
      </c>
      <c r="AI18" s="28">
        <f t="shared" si="20"/>
        <v>190</v>
      </c>
      <c r="AJ18" s="29">
        <f t="shared" si="21"/>
        <v>0</v>
      </c>
      <c r="AN18" s="109">
        <v>1.48</v>
      </c>
      <c r="AO18" s="109">
        <v>0.6</v>
      </c>
      <c r="AP18" s="116">
        <f t="shared" si="9"/>
        <v>44.186399999999999</v>
      </c>
      <c r="AQ18" s="109">
        <f t="shared" si="10"/>
        <v>128.37837837837839</v>
      </c>
      <c r="AR18" s="109">
        <f t="shared" si="11"/>
        <v>0</v>
      </c>
      <c r="AS18" s="109">
        <f t="shared" si="12"/>
        <v>0</v>
      </c>
      <c r="AU18" s="117">
        <f t="shared" si="22"/>
        <v>0.156753</v>
      </c>
      <c r="AV18" s="109">
        <v>2</v>
      </c>
      <c r="AW18" s="109">
        <f t="shared" si="23"/>
        <v>288.8</v>
      </c>
      <c r="AX18" s="109">
        <f t="shared" si="13"/>
        <v>362.44400000000002</v>
      </c>
      <c r="AY18" s="109">
        <f t="shared" si="14"/>
        <v>329.92512000000005</v>
      </c>
      <c r="AZ18" s="116">
        <f t="shared" si="15"/>
        <v>32.992511999999998</v>
      </c>
      <c r="BB18" s="116" t="s">
        <v>479</v>
      </c>
      <c r="BC18" s="116">
        <v>1449929</v>
      </c>
      <c r="BD18" s="116">
        <f t="shared" si="24"/>
        <v>1449.9290000000001</v>
      </c>
      <c r="BF18" s="109">
        <f t="shared" si="25"/>
        <v>73.644000000000005</v>
      </c>
      <c r="BH18" s="109">
        <f t="shared" si="28"/>
        <v>38.988000000000007</v>
      </c>
    </row>
    <row r="19" spans="1:60" x14ac:dyDescent="0.25">
      <c r="A19" t="s">
        <v>78</v>
      </c>
      <c r="B19" s="1">
        <v>542</v>
      </c>
      <c r="C19">
        <v>135</v>
      </c>
      <c r="D19" s="23"/>
      <c r="E19" s="1"/>
      <c r="F19" s="23">
        <f t="shared" si="16"/>
        <v>135</v>
      </c>
      <c r="G19">
        <v>0.51</v>
      </c>
      <c r="H19" s="1">
        <v>0.4</v>
      </c>
      <c r="I19" s="24">
        <f t="shared" si="1"/>
        <v>68.849999999999994</v>
      </c>
      <c r="J19" s="24">
        <f t="shared" si="2"/>
        <v>0</v>
      </c>
      <c r="K19" s="24">
        <f t="shared" si="3"/>
        <v>68.849999999999994</v>
      </c>
      <c r="L19" s="1">
        <v>149</v>
      </c>
      <c r="M19" s="1">
        <v>0</v>
      </c>
      <c r="P19" s="25">
        <f t="shared" si="17"/>
        <v>0.27490774907749077</v>
      </c>
      <c r="R19">
        <v>3000</v>
      </c>
      <c r="S19">
        <v>220</v>
      </c>
      <c r="T19">
        <v>-6.5</v>
      </c>
      <c r="U19">
        <v>0.3</v>
      </c>
      <c r="V19">
        <v>0.7</v>
      </c>
      <c r="W19" s="26">
        <f t="shared" si="4"/>
        <v>12.696986055444906</v>
      </c>
      <c r="X19" s="26">
        <f t="shared" si="5"/>
        <v>0.93111231073262635</v>
      </c>
      <c r="Y19">
        <v>5</v>
      </c>
      <c r="Z19" s="27">
        <v>1</v>
      </c>
      <c r="AA19" s="64">
        <v>0.9</v>
      </c>
      <c r="AB19" s="28">
        <f t="shared" si="26"/>
        <v>138.80160000000001</v>
      </c>
      <c r="AC19" s="1">
        <f t="shared" si="6"/>
        <v>15.422399999999998</v>
      </c>
      <c r="AD19" s="23">
        <f t="shared" si="18"/>
        <v>154.22400000000002</v>
      </c>
      <c r="AE19" s="55">
        <f t="shared" si="27"/>
        <v>0.26275922509225091</v>
      </c>
      <c r="AF19" s="30">
        <f t="shared" si="19"/>
        <v>68.849999999999994</v>
      </c>
      <c r="AG19" s="28">
        <f t="shared" si="7"/>
        <v>14.165075068105724</v>
      </c>
      <c r="AH19" s="28">
        <f t="shared" si="8"/>
        <v>1.0387721716610865</v>
      </c>
      <c r="AI19" s="28">
        <f t="shared" si="20"/>
        <v>149</v>
      </c>
      <c r="AJ19" s="29">
        <f t="shared" si="21"/>
        <v>0</v>
      </c>
      <c r="AN19" s="109">
        <v>1.48</v>
      </c>
      <c r="AO19" s="109">
        <v>0.6</v>
      </c>
      <c r="AP19" s="116">
        <f t="shared" si="9"/>
        <v>41.309999999999995</v>
      </c>
      <c r="AQ19" s="109">
        <f t="shared" si="10"/>
        <v>100.67567567567568</v>
      </c>
      <c r="AR19" s="109">
        <f t="shared" si="11"/>
        <v>0</v>
      </c>
      <c r="AS19" s="109">
        <f t="shared" si="12"/>
        <v>0</v>
      </c>
      <c r="AU19" s="117">
        <f t="shared" si="22"/>
        <v>0.15765553505535054</v>
      </c>
      <c r="AV19" s="109">
        <v>2</v>
      </c>
      <c r="AW19" s="109">
        <f t="shared" si="23"/>
        <v>270</v>
      </c>
      <c r="AX19" s="109">
        <f t="shared" si="13"/>
        <v>338.85</v>
      </c>
      <c r="AY19" s="109">
        <f t="shared" si="14"/>
        <v>308.44800000000004</v>
      </c>
      <c r="AZ19" s="116">
        <f t="shared" si="15"/>
        <v>30.844799999999996</v>
      </c>
      <c r="BB19" s="116" t="s">
        <v>480</v>
      </c>
      <c r="BC19" s="116">
        <v>5489463</v>
      </c>
      <c r="BD19" s="116">
        <f t="shared" si="24"/>
        <v>5489.4629999999997</v>
      </c>
      <c r="BF19" s="109">
        <f t="shared" si="25"/>
        <v>68.849999999999994</v>
      </c>
      <c r="BH19" s="109">
        <f t="shared" si="28"/>
        <v>37.112546125461257</v>
      </c>
    </row>
    <row r="20" spans="1:60" x14ac:dyDescent="0.25">
      <c r="A20" t="s">
        <v>79</v>
      </c>
      <c r="B20">
        <v>415</v>
      </c>
      <c r="C20">
        <v>415</v>
      </c>
      <c r="D20" s="23">
        <v>8500</v>
      </c>
      <c r="E20" s="1"/>
      <c r="F20" s="23">
        <f t="shared" si="16"/>
        <v>8915</v>
      </c>
      <c r="G20" s="14">
        <v>0.5</v>
      </c>
      <c r="H20" s="1">
        <v>1</v>
      </c>
      <c r="I20" s="24">
        <f t="shared" si="1"/>
        <v>207.5</v>
      </c>
      <c r="J20" s="24">
        <f t="shared" si="2"/>
        <v>8500</v>
      </c>
      <c r="K20" s="24">
        <f t="shared" si="3"/>
        <v>8707.5</v>
      </c>
      <c r="L20" s="1">
        <v>28</v>
      </c>
      <c r="M20" s="1">
        <v>1050</v>
      </c>
      <c r="P20" s="25">
        <f t="shared" si="17"/>
        <v>6.746987951807229E-2</v>
      </c>
      <c r="R20">
        <v>300</v>
      </c>
      <c r="S20">
        <v>4</v>
      </c>
      <c r="T20">
        <v>-3</v>
      </c>
      <c r="U20">
        <v>0.6</v>
      </c>
      <c r="V20">
        <v>0.4</v>
      </c>
      <c r="W20" s="26">
        <f t="shared" si="4"/>
        <v>83.84713384021579</v>
      </c>
      <c r="X20" s="26">
        <f t="shared" si="5"/>
        <v>1.1179617845362106</v>
      </c>
      <c r="Y20">
        <v>1</v>
      </c>
      <c r="Z20" s="27">
        <v>1</v>
      </c>
      <c r="AA20">
        <v>0.7</v>
      </c>
      <c r="AB20" s="28">
        <f t="shared" si="26"/>
        <v>7129.1472000000003</v>
      </c>
      <c r="AC20" s="1">
        <f t="shared" si="6"/>
        <v>3055.3488000000007</v>
      </c>
      <c r="AD20" s="23">
        <f t="shared" si="18"/>
        <v>10184.496000000001</v>
      </c>
      <c r="AE20" s="55">
        <f t="shared" si="27"/>
        <v>0.12067951807228916</v>
      </c>
      <c r="AF20" s="30">
        <f t="shared" si="19"/>
        <v>8707.5</v>
      </c>
      <c r="AG20" s="28">
        <f t="shared" si="7"/>
        <v>93.541958690490773</v>
      </c>
      <c r="AH20" s="28">
        <f t="shared" si="8"/>
        <v>1.2472261158732101</v>
      </c>
      <c r="AI20" s="28">
        <f t="shared" si="20"/>
        <v>28</v>
      </c>
      <c r="AJ20" s="29">
        <f t="shared" si="21"/>
        <v>1050</v>
      </c>
      <c r="AN20" s="109">
        <v>1.2</v>
      </c>
      <c r="AO20" s="109">
        <v>0.6</v>
      </c>
      <c r="AP20" s="116">
        <f t="shared" si="9"/>
        <v>5224.5</v>
      </c>
      <c r="AQ20" s="109">
        <f t="shared" si="10"/>
        <v>23.333333333333336</v>
      </c>
      <c r="AR20" s="109">
        <f t="shared" si="11"/>
        <v>875</v>
      </c>
      <c r="AS20" s="109">
        <f t="shared" si="12"/>
        <v>0</v>
      </c>
      <c r="AU20" s="117">
        <f t="shared" si="22"/>
        <v>7.2407710843373496E-2</v>
      </c>
      <c r="AV20" s="109">
        <v>0.22</v>
      </c>
      <c r="AW20" s="109">
        <f t="shared" si="23"/>
        <v>1961.3</v>
      </c>
      <c r="AX20" s="109">
        <f t="shared" si="13"/>
        <v>10668.8</v>
      </c>
      <c r="AY20" s="109">
        <f t="shared" si="14"/>
        <v>2240.5891200000001</v>
      </c>
      <c r="AZ20" s="116">
        <f t="shared" si="15"/>
        <v>672.17673600000012</v>
      </c>
      <c r="BB20" s="116" t="s">
        <v>481</v>
      </c>
      <c r="BC20" s="116">
        <v>1469992</v>
      </c>
      <c r="BD20" s="116">
        <f t="shared" si="24"/>
        <v>1469.992</v>
      </c>
      <c r="BF20" s="109">
        <f t="shared" si="25"/>
        <v>4457.5</v>
      </c>
      <c r="BH20" s="109">
        <f t="shared" si="28"/>
        <v>601.49397590361446</v>
      </c>
    </row>
    <row r="21" spans="1:60" x14ac:dyDescent="0.25">
      <c r="A21" t="s">
        <v>80</v>
      </c>
      <c r="B21">
        <v>2600</v>
      </c>
      <c r="C21">
        <v>2600</v>
      </c>
      <c r="D21" s="23">
        <v>1806.7796610169498</v>
      </c>
      <c r="E21" s="1"/>
      <c r="F21" s="23">
        <f t="shared" si="16"/>
        <v>4406.7796610169498</v>
      </c>
      <c r="G21" s="14">
        <v>0.5</v>
      </c>
      <c r="H21" s="1">
        <v>2</v>
      </c>
      <c r="I21" s="24">
        <f t="shared" si="1"/>
        <v>1300</v>
      </c>
      <c r="J21" s="24">
        <f t="shared" si="2"/>
        <v>3613.5593220338997</v>
      </c>
      <c r="K21" s="24">
        <f t="shared" si="3"/>
        <v>4913.5593220338997</v>
      </c>
      <c r="L21" s="1">
        <v>123</v>
      </c>
      <c r="M21" s="1">
        <v>63</v>
      </c>
      <c r="P21" s="25">
        <f t="shared" si="17"/>
        <v>4.7307692307692308E-2</v>
      </c>
      <c r="R21">
        <v>250</v>
      </c>
      <c r="S21">
        <v>10</v>
      </c>
      <c r="T21">
        <v>-9</v>
      </c>
      <c r="U21">
        <v>0.3</v>
      </c>
      <c r="V21">
        <v>0.7</v>
      </c>
      <c r="W21" s="26">
        <f t="shared" si="4"/>
        <v>34.538777719352119</v>
      </c>
      <c r="X21" s="26">
        <f t="shared" si="5"/>
        <v>1.381551108774085</v>
      </c>
      <c r="Y21">
        <v>1.5</v>
      </c>
      <c r="Z21" s="27">
        <v>1</v>
      </c>
      <c r="AA21">
        <v>1</v>
      </c>
      <c r="AB21" s="28">
        <f t="shared" si="26"/>
        <v>5034.3050847457635</v>
      </c>
      <c r="AC21" s="1">
        <f t="shared" si="6"/>
        <v>0</v>
      </c>
      <c r="AD21" s="23">
        <f t="shared" si="18"/>
        <v>5034.3050847457635</v>
      </c>
      <c r="AE21" s="55">
        <f t="shared" si="27"/>
        <v>0.18949980769230768</v>
      </c>
      <c r="AF21" s="30">
        <f t="shared" si="19"/>
        <v>4913.5593220338997</v>
      </c>
      <c r="AG21" s="28">
        <f t="shared" si="7"/>
        <v>38.53232389315221</v>
      </c>
      <c r="AH21" s="28">
        <f t="shared" si="8"/>
        <v>1.5412929557260884</v>
      </c>
      <c r="AI21" s="28">
        <f t="shared" si="20"/>
        <v>123</v>
      </c>
      <c r="AJ21" s="29">
        <f t="shared" si="21"/>
        <v>63</v>
      </c>
      <c r="AN21" s="109">
        <v>1.2</v>
      </c>
      <c r="AO21" s="109">
        <v>0.6</v>
      </c>
      <c r="AP21" s="116">
        <f t="shared" si="9"/>
        <v>2948.1355932203396</v>
      </c>
      <c r="AQ21" s="109">
        <f t="shared" si="10"/>
        <v>102.5</v>
      </c>
      <c r="AR21" s="109">
        <f t="shared" si="11"/>
        <v>52.5</v>
      </c>
      <c r="AS21" s="109">
        <f t="shared" si="12"/>
        <v>0</v>
      </c>
      <c r="AU21" s="117">
        <f t="shared" si="22"/>
        <v>0.11369988461538461</v>
      </c>
      <c r="AV21" s="109">
        <v>0.1</v>
      </c>
      <c r="AW21" s="109">
        <f t="shared" si="23"/>
        <v>440.67796610169501</v>
      </c>
      <c r="AX21" s="109">
        <f t="shared" si="13"/>
        <v>5354.237288135595</v>
      </c>
      <c r="AY21" s="109">
        <f t="shared" si="14"/>
        <v>503.43050847457636</v>
      </c>
      <c r="AZ21" s="116">
        <f t="shared" si="15"/>
        <v>0</v>
      </c>
      <c r="BB21" s="116" t="s">
        <v>482</v>
      </c>
      <c r="BC21" s="116">
        <v>746738</v>
      </c>
      <c r="BD21" s="116">
        <f t="shared" si="24"/>
        <v>746.73800000000006</v>
      </c>
      <c r="BF21" s="109">
        <f t="shared" si="25"/>
        <v>2203.3898305084749</v>
      </c>
      <c r="BH21" s="109">
        <f t="shared" si="28"/>
        <v>208.47457627118646</v>
      </c>
    </row>
    <row r="22" spans="1:60" x14ac:dyDescent="0.25">
      <c r="A22" t="s">
        <v>81</v>
      </c>
      <c r="B22">
        <v>177</v>
      </c>
      <c r="C22">
        <v>177</v>
      </c>
      <c r="D22" s="1">
        <v>2100</v>
      </c>
      <c r="E22" s="1"/>
      <c r="F22" s="23">
        <f t="shared" si="16"/>
        <v>2277</v>
      </c>
      <c r="G22">
        <v>3.79</v>
      </c>
      <c r="H22" s="1">
        <v>1.3</v>
      </c>
      <c r="I22" s="24">
        <f t="shared" si="1"/>
        <v>670.83</v>
      </c>
      <c r="J22" s="24">
        <f t="shared" si="2"/>
        <v>2730</v>
      </c>
      <c r="K22" s="24">
        <f t="shared" si="3"/>
        <v>3400.83</v>
      </c>
      <c r="L22" s="1">
        <v>1</v>
      </c>
      <c r="M22" s="1">
        <v>2</v>
      </c>
      <c r="O22" s="31">
        <f>SUM(K20:K22)</f>
        <v>17021.889322033901</v>
      </c>
      <c r="P22" s="25">
        <f t="shared" si="17"/>
        <v>5.6497175141242938E-3</v>
      </c>
      <c r="R22">
        <v>100</v>
      </c>
      <c r="S22">
        <v>12</v>
      </c>
      <c r="T22">
        <v>-6</v>
      </c>
      <c r="U22">
        <v>0.95</v>
      </c>
      <c r="V22">
        <v>0.05</v>
      </c>
      <c r="W22" s="26">
        <f t="shared" si="4"/>
        <v>7.1385277156168021</v>
      </c>
      <c r="X22" s="26">
        <f t="shared" si="5"/>
        <v>0.85662332587401635</v>
      </c>
      <c r="Y22">
        <v>4</v>
      </c>
      <c r="Z22" s="27">
        <v>1</v>
      </c>
      <c r="AA22">
        <v>1</v>
      </c>
      <c r="AB22" s="28">
        <f t="shared" si="26"/>
        <v>2601.2448000000004</v>
      </c>
      <c r="AC22" s="1">
        <f t="shared" si="6"/>
        <v>0</v>
      </c>
      <c r="AD22" s="23">
        <f t="shared" si="18"/>
        <v>2601.2448000000004</v>
      </c>
      <c r="AE22" s="55">
        <f t="shared" si="27"/>
        <v>9.6481638418079094E-2</v>
      </c>
      <c r="AF22" s="30">
        <f t="shared" si="19"/>
        <v>3400.83</v>
      </c>
      <c r="AG22" s="28">
        <f t="shared" si="7"/>
        <v>7.9639199827349962</v>
      </c>
      <c r="AH22" s="28">
        <f t="shared" si="8"/>
        <v>0.95567039792819952</v>
      </c>
      <c r="AI22" s="28">
        <f t="shared" si="20"/>
        <v>1</v>
      </c>
      <c r="AJ22" s="29">
        <f t="shared" si="21"/>
        <v>2</v>
      </c>
      <c r="AN22" s="109">
        <v>1.2</v>
      </c>
      <c r="AO22" s="109">
        <v>0.6</v>
      </c>
      <c r="AP22" s="116">
        <f t="shared" si="9"/>
        <v>2040.4979999999998</v>
      </c>
      <c r="AQ22" s="109">
        <f t="shared" si="10"/>
        <v>0.83333333333333337</v>
      </c>
      <c r="AR22" s="109">
        <f t="shared" si="11"/>
        <v>1.6666666666666667</v>
      </c>
      <c r="AS22" s="109">
        <f t="shared" si="12"/>
        <v>0</v>
      </c>
      <c r="AU22" s="117">
        <f t="shared" si="22"/>
        <v>5.7888983050847456E-2</v>
      </c>
      <c r="AV22" s="109">
        <v>0.05</v>
      </c>
      <c r="AW22" s="109">
        <f t="shared" si="23"/>
        <v>113.85000000000001</v>
      </c>
      <c r="AX22" s="109">
        <f t="shared" si="13"/>
        <v>3514.68</v>
      </c>
      <c r="AY22" s="109">
        <f t="shared" si="14"/>
        <v>130.06224000000003</v>
      </c>
      <c r="AZ22" s="116">
        <f t="shared" si="15"/>
        <v>0</v>
      </c>
      <c r="BB22" s="116" t="s">
        <v>483</v>
      </c>
      <c r="BC22" s="116">
        <v>172522</v>
      </c>
      <c r="BD22" s="116">
        <f t="shared" si="24"/>
        <v>172.52199999999999</v>
      </c>
      <c r="BF22" s="109">
        <f t="shared" si="25"/>
        <v>8629.83</v>
      </c>
      <c r="BH22" s="109">
        <f t="shared" si="28"/>
        <v>12.864406779661017</v>
      </c>
    </row>
    <row r="23" spans="1:60" x14ac:dyDescent="0.25">
      <c r="A23" s="1" t="s">
        <v>82</v>
      </c>
      <c r="B23" s="1">
        <v>200</v>
      </c>
      <c r="C23">
        <v>200</v>
      </c>
      <c r="D23" s="1"/>
      <c r="E23" s="1">
        <v>100</v>
      </c>
      <c r="F23" s="23">
        <f t="shared" si="16"/>
        <v>200</v>
      </c>
      <c r="G23">
        <v>0.7</v>
      </c>
      <c r="H23" s="1">
        <v>0</v>
      </c>
      <c r="I23" s="24">
        <f t="shared" si="1"/>
        <v>140</v>
      </c>
      <c r="J23" s="24">
        <f t="shared" si="2"/>
        <v>0</v>
      </c>
      <c r="K23" s="24">
        <f t="shared" si="3"/>
        <v>140</v>
      </c>
      <c r="L23" s="1">
        <v>50</v>
      </c>
      <c r="M23" s="1"/>
      <c r="O23">
        <f>SUM(G20:H22)/6</f>
        <v>1.5149999999999999</v>
      </c>
      <c r="P23" s="25">
        <f t="shared" si="17"/>
        <v>0.25</v>
      </c>
      <c r="R23">
        <v>250</v>
      </c>
      <c r="S23">
        <v>10</v>
      </c>
      <c r="T23">
        <v>1</v>
      </c>
      <c r="U23">
        <v>0.3</v>
      </c>
      <c r="V23">
        <v>0.7</v>
      </c>
      <c r="W23" s="26">
        <f t="shared" si="4"/>
        <v>1.5675291426475191</v>
      </c>
      <c r="X23" s="26">
        <f t="shared" si="5"/>
        <v>6.2701165705900758E-2</v>
      </c>
      <c r="Y23">
        <v>0.5</v>
      </c>
      <c r="Z23" s="27">
        <v>1</v>
      </c>
      <c r="AA23">
        <v>1</v>
      </c>
      <c r="AB23" s="28">
        <f t="shared" si="26"/>
        <v>228.48000000000002</v>
      </c>
      <c r="AC23" s="1">
        <f t="shared" si="6"/>
        <v>0</v>
      </c>
      <c r="AD23" s="23">
        <f t="shared" si="18"/>
        <v>228.48000000000002</v>
      </c>
      <c r="AE23" s="55">
        <f t="shared" si="27"/>
        <v>0.32162499999999994</v>
      </c>
      <c r="AF23" s="30">
        <f t="shared" si="19"/>
        <v>140</v>
      </c>
      <c r="AG23" s="28">
        <f t="shared" si="7"/>
        <v>1.7487746997661389</v>
      </c>
      <c r="AH23" s="28">
        <f t="shared" si="8"/>
        <v>6.9950987990645558E-2</v>
      </c>
      <c r="AI23" s="28">
        <f t="shared" si="20"/>
        <v>50</v>
      </c>
      <c r="AJ23" s="29">
        <f t="shared" si="21"/>
        <v>0</v>
      </c>
      <c r="AN23" s="109">
        <v>1.2</v>
      </c>
      <c r="AO23" s="109">
        <v>0.6</v>
      </c>
      <c r="AP23" s="116">
        <f t="shared" si="9"/>
        <v>84</v>
      </c>
      <c r="AQ23" s="109">
        <f t="shared" si="10"/>
        <v>41.666666666666671</v>
      </c>
      <c r="AR23" s="109">
        <f t="shared" si="11"/>
        <v>0</v>
      </c>
      <c r="AS23" s="109">
        <f t="shared" si="12"/>
        <v>0</v>
      </c>
      <c r="AU23" s="117">
        <f t="shared" si="22"/>
        <v>0.19297499999999995</v>
      </c>
      <c r="AV23" s="109">
        <v>0.5</v>
      </c>
      <c r="AW23" s="109">
        <f t="shared" si="23"/>
        <v>100</v>
      </c>
      <c r="AX23" s="109">
        <f t="shared" si="13"/>
        <v>240</v>
      </c>
      <c r="AY23" s="109">
        <f t="shared" si="14"/>
        <v>114.24000000000001</v>
      </c>
      <c r="AZ23" s="116">
        <f t="shared" si="15"/>
        <v>0</v>
      </c>
      <c r="BB23" s="116" t="s">
        <v>484</v>
      </c>
      <c r="BC23" s="116">
        <v>82181</v>
      </c>
      <c r="BD23" s="116">
        <f t="shared" si="24"/>
        <v>82.180999999999997</v>
      </c>
      <c r="BF23" s="109">
        <f t="shared" si="25"/>
        <v>140</v>
      </c>
      <c r="BH23" s="109">
        <f t="shared" si="28"/>
        <v>50</v>
      </c>
    </row>
    <row r="24" spans="1:60" x14ac:dyDescent="0.25">
      <c r="A24" s="1"/>
      <c r="D24" s="1"/>
      <c r="E24" s="1"/>
      <c r="F24" s="23"/>
      <c r="H24" s="1"/>
      <c r="I24" s="24"/>
      <c r="J24" s="24"/>
      <c r="K24" s="24">
        <f t="shared" si="3"/>
        <v>0</v>
      </c>
      <c r="L24" s="1"/>
      <c r="M24" s="1"/>
      <c r="P24" s="25"/>
      <c r="W24" s="26"/>
      <c r="X24" s="26"/>
      <c r="Z24" s="27">
        <v>1</v>
      </c>
      <c r="AB24" s="28"/>
      <c r="AC24" s="1"/>
      <c r="AD24" s="23"/>
      <c r="AE24" s="55">
        <f t="shared" si="27"/>
        <v>0</v>
      </c>
      <c r="AF24" s="30">
        <f t="shared" si="19"/>
        <v>0</v>
      </c>
      <c r="AG24" s="28">
        <f t="shared" si="7"/>
        <v>0</v>
      </c>
      <c r="AH24" s="28">
        <f t="shared" si="8"/>
        <v>0</v>
      </c>
      <c r="AI24" s="28">
        <f t="shared" si="20"/>
        <v>0</v>
      </c>
      <c r="AJ24" s="29">
        <f t="shared" si="21"/>
        <v>0</v>
      </c>
      <c r="AN24" s="109">
        <v>1.2</v>
      </c>
      <c r="AO24" s="109">
        <v>0.6</v>
      </c>
      <c r="AP24" s="116">
        <f t="shared" si="9"/>
        <v>0</v>
      </c>
      <c r="AQ24" s="109">
        <f t="shared" si="10"/>
        <v>0</v>
      </c>
      <c r="AR24" s="109">
        <f t="shared" si="11"/>
        <v>0</v>
      </c>
      <c r="AS24" s="109">
        <f t="shared" si="12"/>
        <v>0</v>
      </c>
      <c r="AU24" s="117">
        <f t="shared" si="22"/>
        <v>0</v>
      </c>
      <c r="AX24" s="109">
        <f t="shared" si="13"/>
        <v>0</v>
      </c>
      <c r="AY24" s="109">
        <f t="shared" si="14"/>
        <v>0</v>
      </c>
      <c r="AZ24" s="116">
        <f t="shared" si="15"/>
        <v>0</v>
      </c>
      <c r="BB24" s="116" t="s">
        <v>485</v>
      </c>
      <c r="BC24" s="116">
        <v>557703</v>
      </c>
      <c r="BD24" s="116">
        <f t="shared" si="24"/>
        <v>557.70299999999997</v>
      </c>
      <c r="BF24" s="109">
        <f t="shared" si="25"/>
        <v>0</v>
      </c>
      <c r="BH24" s="109">
        <f t="shared" si="28"/>
        <v>0</v>
      </c>
    </row>
    <row r="25" spans="1:60" x14ac:dyDescent="0.25">
      <c r="A25" t="s">
        <v>83</v>
      </c>
      <c r="D25" s="1">
        <v>1610</v>
      </c>
      <c r="E25" s="1">
        <f>D25*0.5</f>
        <v>805</v>
      </c>
      <c r="F25" s="23">
        <f>D25-E25</f>
        <v>805</v>
      </c>
      <c r="H25" s="1">
        <v>0.8</v>
      </c>
      <c r="I25" s="24">
        <f t="shared" ref="I25:J30" si="29">C25*G25</f>
        <v>0</v>
      </c>
      <c r="J25" s="24">
        <f t="shared" si="29"/>
        <v>1288</v>
      </c>
      <c r="K25" s="24">
        <f t="shared" si="3"/>
        <v>1288</v>
      </c>
      <c r="L25" s="1"/>
      <c r="M25" s="1">
        <v>370</v>
      </c>
      <c r="P25" s="25">
        <f>M25/D25</f>
        <v>0.22981366459627328</v>
      </c>
      <c r="R25">
        <v>9000</v>
      </c>
      <c r="T25">
        <v>15</v>
      </c>
      <c r="U25" s="1">
        <v>0.4</v>
      </c>
      <c r="V25" s="14">
        <v>0.6</v>
      </c>
      <c r="W25" s="26">
        <f t="shared" si="4"/>
        <v>227.13497276962551</v>
      </c>
      <c r="X25" s="26">
        <f t="shared" si="5"/>
        <v>0</v>
      </c>
      <c r="Y25">
        <v>0.2</v>
      </c>
      <c r="Z25" s="27">
        <v>1</v>
      </c>
      <c r="AA25">
        <v>0</v>
      </c>
      <c r="AB25" s="28">
        <f t="shared" si="26"/>
        <v>0</v>
      </c>
      <c r="AC25" s="1">
        <f t="shared" si="6"/>
        <v>919.63200000000006</v>
      </c>
      <c r="AD25" s="23">
        <f t="shared" si="18"/>
        <v>919.63200000000006</v>
      </c>
      <c r="AE25" s="55">
        <f t="shared" si="27"/>
        <v>7.0437888198757764E-2</v>
      </c>
      <c r="AF25" s="30">
        <f t="shared" si="19"/>
        <v>1288</v>
      </c>
      <c r="AG25" s="28">
        <f t="shared" si="7"/>
        <v>253.39745399611351</v>
      </c>
      <c r="AH25" s="28">
        <f t="shared" si="8"/>
        <v>0</v>
      </c>
      <c r="AI25" s="28">
        <f t="shared" si="20"/>
        <v>0</v>
      </c>
      <c r="AJ25" s="29">
        <f t="shared" si="21"/>
        <v>370</v>
      </c>
      <c r="AN25" s="109">
        <v>1.2</v>
      </c>
      <c r="AO25" s="109">
        <v>0.6</v>
      </c>
      <c r="AP25" s="116">
        <f t="shared" si="9"/>
        <v>772.8</v>
      </c>
      <c r="AQ25" s="109">
        <f t="shared" si="10"/>
        <v>0</v>
      </c>
      <c r="AR25" s="109">
        <f t="shared" si="11"/>
        <v>308.33333333333337</v>
      </c>
      <c r="AS25" s="109">
        <f t="shared" si="12"/>
        <v>0</v>
      </c>
      <c r="AU25" s="117">
        <f t="shared" si="22"/>
        <v>4.2262732919254656E-2</v>
      </c>
      <c r="AV25" s="109">
        <v>1.03</v>
      </c>
      <c r="AW25" s="109">
        <f t="shared" ref="AW25:AW30" si="30">AV25*F25</f>
        <v>829.15</v>
      </c>
      <c r="AX25" s="109">
        <f t="shared" si="13"/>
        <v>2117.15</v>
      </c>
      <c r="AY25" s="109">
        <f t="shared" si="14"/>
        <v>947.2209600000001</v>
      </c>
      <c r="AZ25" s="116">
        <f t="shared" si="15"/>
        <v>947.2209600000001</v>
      </c>
      <c r="BB25" s="116" t="s">
        <v>486</v>
      </c>
      <c r="BC25" s="116">
        <v>907075</v>
      </c>
      <c r="BD25" s="116">
        <f t="shared" si="24"/>
        <v>907.07500000000005</v>
      </c>
      <c r="BF25" s="109">
        <f t="shared" si="25"/>
        <v>0</v>
      </c>
      <c r="BH25" s="109">
        <f t="shared" si="28"/>
        <v>185</v>
      </c>
    </row>
    <row r="26" spans="1:60" x14ac:dyDescent="0.25">
      <c r="A26" t="s">
        <v>84</v>
      </c>
      <c r="D26" s="1">
        <v>641</v>
      </c>
      <c r="E26" s="1"/>
      <c r="F26" s="23">
        <f t="shared" si="16"/>
        <v>641</v>
      </c>
      <c r="H26" s="1">
        <v>3.5</v>
      </c>
      <c r="I26" s="24">
        <f t="shared" si="29"/>
        <v>0</v>
      </c>
      <c r="J26" s="24">
        <f t="shared" si="29"/>
        <v>2243.5</v>
      </c>
      <c r="K26" s="24">
        <f t="shared" si="3"/>
        <v>2243.5</v>
      </c>
      <c r="L26" s="1"/>
      <c r="M26" s="1">
        <v>130</v>
      </c>
      <c r="P26" s="25">
        <f t="shared" ref="P26:P31" si="31">M26/D26</f>
        <v>0.20280811232449297</v>
      </c>
      <c r="R26">
        <v>2000</v>
      </c>
      <c r="S26">
        <v>30</v>
      </c>
      <c r="T26">
        <v>1</v>
      </c>
      <c r="U26" s="1">
        <v>0.4</v>
      </c>
      <c r="V26" s="14">
        <v>0.28000000000000003</v>
      </c>
      <c r="W26" s="26">
        <f t="shared" si="4"/>
        <v>40.191447217482391</v>
      </c>
      <c r="X26" s="26">
        <f t="shared" si="5"/>
        <v>0.60287170826223591</v>
      </c>
      <c r="Y26">
        <v>0.6</v>
      </c>
      <c r="Z26" s="27">
        <v>1</v>
      </c>
      <c r="AA26">
        <v>0</v>
      </c>
      <c r="AB26" s="28">
        <f t="shared" si="26"/>
        <v>0</v>
      </c>
      <c r="AC26" s="1">
        <f t="shared" si="6"/>
        <v>732.27840000000003</v>
      </c>
      <c r="AD26" s="23">
        <f t="shared" si="18"/>
        <v>732.27840000000003</v>
      </c>
      <c r="AE26" s="55">
        <f>G26*(1-U36)-((G26*V26)-(0.613*P26))/2+(0.613*P26)</f>
        <v>0.1864820592823713</v>
      </c>
      <c r="AF26" s="30">
        <f t="shared" si="19"/>
        <v>2243.5</v>
      </c>
      <c r="AG26" s="28">
        <f t="shared" si="7"/>
        <v>44.838583302003791</v>
      </c>
      <c r="AH26" s="28">
        <f t="shared" si="8"/>
        <v>0.67257874953005703</v>
      </c>
      <c r="AI26" s="28">
        <f t="shared" si="20"/>
        <v>0</v>
      </c>
      <c r="AJ26" s="29">
        <f t="shared" si="21"/>
        <v>130</v>
      </c>
      <c r="AN26" s="109">
        <v>1.2</v>
      </c>
      <c r="AO26" s="109">
        <v>0.6</v>
      </c>
      <c r="AP26" s="116">
        <f t="shared" si="9"/>
        <v>1346.1</v>
      </c>
      <c r="AQ26" s="109">
        <f t="shared" si="10"/>
        <v>0</v>
      </c>
      <c r="AR26" s="109">
        <f t="shared" si="11"/>
        <v>108.33333333333334</v>
      </c>
      <c r="AS26" s="109">
        <f t="shared" si="12"/>
        <v>0</v>
      </c>
      <c r="AU26" s="117">
        <f t="shared" si="22"/>
        <v>0.11188923556942278</v>
      </c>
      <c r="AV26" s="109">
        <v>0.35</v>
      </c>
      <c r="AW26" s="109">
        <f t="shared" si="30"/>
        <v>224.35</v>
      </c>
      <c r="AX26" s="109">
        <f t="shared" si="13"/>
        <v>2467.85</v>
      </c>
      <c r="AY26" s="109">
        <f t="shared" si="14"/>
        <v>256.29743999999999</v>
      </c>
      <c r="AZ26" s="116">
        <f t="shared" si="15"/>
        <v>256.29743999999999</v>
      </c>
      <c r="BB26" s="116" t="s">
        <v>487</v>
      </c>
      <c r="BC26" s="116">
        <v>61595</v>
      </c>
      <c r="BD26" s="116">
        <f t="shared" si="24"/>
        <v>61.594999999999999</v>
      </c>
      <c r="BF26" s="109">
        <f t="shared" si="25"/>
        <v>0</v>
      </c>
      <c r="BH26" s="109">
        <f t="shared" si="28"/>
        <v>130</v>
      </c>
    </row>
    <row r="27" spans="1:60" x14ac:dyDescent="0.25">
      <c r="A27" t="s">
        <v>85</v>
      </c>
      <c r="D27" s="1">
        <v>400</v>
      </c>
      <c r="E27" s="1"/>
      <c r="F27" s="23">
        <f t="shared" si="16"/>
        <v>400</v>
      </c>
      <c r="H27" s="1">
        <v>0.87</v>
      </c>
      <c r="I27" s="24">
        <f t="shared" si="29"/>
        <v>0</v>
      </c>
      <c r="J27" s="24">
        <f t="shared" si="29"/>
        <v>348</v>
      </c>
      <c r="K27" s="24">
        <f t="shared" si="3"/>
        <v>348</v>
      </c>
      <c r="L27" s="1"/>
      <c r="M27" s="1">
        <v>370</v>
      </c>
      <c r="P27" s="25">
        <f t="shared" si="31"/>
        <v>0.92500000000000004</v>
      </c>
      <c r="R27">
        <v>50</v>
      </c>
      <c r="T27">
        <v>3</v>
      </c>
      <c r="U27" s="1">
        <v>0.4</v>
      </c>
      <c r="V27" s="14">
        <v>0.6</v>
      </c>
      <c r="W27" s="26">
        <f t="shared" si="4"/>
        <v>0.62701165705900774</v>
      </c>
      <c r="X27" s="26">
        <f t="shared" si="5"/>
        <v>0</v>
      </c>
      <c r="Y27">
        <v>1</v>
      </c>
      <c r="Z27" s="27">
        <v>1</v>
      </c>
      <c r="AA27">
        <v>0</v>
      </c>
      <c r="AB27" s="28">
        <f t="shared" si="26"/>
        <v>0</v>
      </c>
      <c r="AC27" s="1">
        <f t="shared" si="6"/>
        <v>456.96000000000004</v>
      </c>
      <c r="AD27" s="23">
        <f t="shared" si="18"/>
        <v>456.96000000000004</v>
      </c>
      <c r="AE27" s="55">
        <f t="shared" si="27"/>
        <v>0.2835125</v>
      </c>
      <c r="AF27" s="30">
        <f t="shared" si="19"/>
        <v>348</v>
      </c>
      <c r="AG27" s="28">
        <f t="shared" si="7"/>
        <v>0.69950987990645541</v>
      </c>
      <c r="AH27" s="28">
        <f t="shared" si="8"/>
        <v>0</v>
      </c>
      <c r="AI27" s="28">
        <f t="shared" si="20"/>
        <v>0</v>
      </c>
      <c r="AJ27" s="29">
        <f t="shared" si="21"/>
        <v>370</v>
      </c>
      <c r="AN27" s="109">
        <v>1.2</v>
      </c>
      <c r="AO27" s="109">
        <v>0.6</v>
      </c>
      <c r="AP27" s="116">
        <f t="shared" si="9"/>
        <v>208.79999999999998</v>
      </c>
      <c r="AQ27" s="109">
        <f t="shared" si="10"/>
        <v>0</v>
      </c>
      <c r="AR27" s="109">
        <f t="shared" si="11"/>
        <v>308.33333333333337</v>
      </c>
      <c r="AS27" s="109">
        <f t="shared" si="12"/>
        <v>0</v>
      </c>
      <c r="AU27" s="117">
        <f t="shared" si="22"/>
        <v>0.17010749999999999</v>
      </c>
      <c r="AV27" s="109">
        <v>1.07</v>
      </c>
      <c r="AW27" s="109">
        <f t="shared" si="30"/>
        <v>428</v>
      </c>
      <c r="AX27" s="109">
        <f t="shared" si="13"/>
        <v>776</v>
      </c>
      <c r="AY27" s="109">
        <f t="shared" si="14"/>
        <v>488.94720000000007</v>
      </c>
      <c r="AZ27" s="116">
        <f t="shared" si="15"/>
        <v>488.94720000000007</v>
      </c>
      <c r="BB27" s="116" t="s">
        <v>488</v>
      </c>
      <c r="BC27" s="116">
        <v>481647</v>
      </c>
      <c r="BD27" s="116">
        <f t="shared" si="24"/>
        <v>481.64699999999999</v>
      </c>
      <c r="BF27" s="109">
        <f t="shared" si="25"/>
        <v>0</v>
      </c>
      <c r="BH27" s="109">
        <f t="shared" si="28"/>
        <v>370</v>
      </c>
    </row>
    <row r="28" spans="1:60" x14ac:dyDescent="0.25">
      <c r="A28" t="s">
        <v>86</v>
      </c>
      <c r="D28" s="1">
        <v>1336</v>
      </c>
      <c r="E28" s="1">
        <f>D28/2</f>
        <v>668</v>
      </c>
      <c r="F28" s="23">
        <v>668</v>
      </c>
      <c r="G28">
        <v>0.45</v>
      </c>
      <c r="H28" s="1">
        <v>0.45</v>
      </c>
      <c r="I28" s="24">
        <f t="shared" si="29"/>
        <v>0</v>
      </c>
      <c r="J28" s="24">
        <f t="shared" si="29"/>
        <v>601.20000000000005</v>
      </c>
      <c r="K28" s="24">
        <f t="shared" si="3"/>
        <v>601.20000000000005</v>
      </c>
      <c r="L28" s="1"/>
      <c r="M28" s="1">
        <f>D28*0.12</f>
        <v>160.32</v>
      </c>
      <c r="P28" s="25">
        <f t="shared" si="31"/>
        <v>0.12</v>
      </c>
      <c r="R28">
        <v>3000</v>
      </c>
      <c r="S28">
        <v>70</v>
      </c>
      <c r="T28">
        <v>1</v>
      </c>
      <c r="U28" s="1">
        <v>0.4</v>
      </c>
      <c r="V28" s="14">
        <v>0.6</v>
      </c>
      <c r="W28" s="26">
        <f t="shared" si="4"/>
        <v>62.826568037312576</v>
      </c>
      <c r="X28" s="26">
        <f t="shared" si="5"/>
        <v>1.4659532542039599</v>
      </c>
      <c r="Y28">
        <v>0.5</v>
      </c>
      <c r="Z28" s="27">
        <v>1</v>
      </c>
      <c r="AA28">
        <v>1</v>
      </c>
      <c r="AB28" s="28">
        <f t="shared" si="26"/>
        <v>763.12320000000011</v>
      </c>
      <c r="AC28" s="1">
        <f t="shared" si="6"/>
        <v>0</v>
      </c>
      <c r="AD28" s="23">
        <f t="shared" si="18"/>
        <v>763.12320000000011</v>
      </c>
      <c r="AE28" s="55">
        <f t="shared" si="27"/>
        <v>0.17177999999999999</v>
      </c>
      <c r="AF28" s="30">
        <f t="shared" si="19"/>
        <v>601.20000000000005</v>
      </c>
      <c r="AG28" s="28">
        <f t="shared" si="7"/>
        <v>70.090889966626861</v>
      </c>
      <c r="AH28" s="28">
        <f t="shared" si="8"/>
        <v>1.6354540992212931</v>
      </c>
      <c r="AI28" s="28">
        <f t="shared" si="20"/>
        <v>0</v>
      </c>
      <c r="AJ28" s="29">
        <f t="shared" si="21"/>
        <v>160.32</v>
      </c>
      <c r="AN28" s="109">
        <v>1.2</v>
      </c>
      <c r="AO28" s="109">
        <v>0.6</v>
      </c>
      <c r="AP28" s="116">
        <f t="shared" si="9"/>
        <v>360.72</v>
      </c>
      <c r="AQ28" s="109">
        <f t="shared" si="10"/>
        <v>0</v>
      </c>
      <c r="AR28" s="109">
        <f t="shared" si="11"/>
        <v>133.6</v>
      </c>
      <c r="AS28" s="109">
        <f t="shared" si="12"/>
        <v>0</v>
      </c>
      <c r="AU28" s="117">
        <f t="shared" si="22"/>
        <v>0.10306799999999999</v>
      </c>
      <c r="AV28" s="109">
        <v>0.28999999999999998</v>
      </c>
      <c r="AW28" s="109">
        <f t="shared" si="30"/>
        <v>193.72</v>
      </c>
      <c r="AX28" s="109">
        <f t="shared" si="13"/>
        <v>794.92000000000007</v>
      </c>
      <c r="AY28" s="109">
        <f t="shared" si="14"/>
        <v>221.30572800000002</v>
      </c>
      <c r="AZ28" s="116">
        <f t="shared" si="15"/>
        <v>0</v>
      </c>
      <c r="BB28" s="116" t="s">
        <v>489</v>
      </c>
      <c r="BC28" s="116">
        <v>1193720</v>
      </c>
      <c r="BD28" s="116">
        <f t="shared" si="24"/>
        <v>1193.72</v>
      </c>
      <c r="BF28" s="109">
        <f t="shared" si="25"/>
        <v>300.60000000000002</v>
      </c>
      <c r="BH28" s="109">
        <f t="shared" si="28"/>
        <v>80.16</v>
      </c>
    </row>
    <row r="29" spans="1:60" x14ac:dyDescent="0.25">
      <c r="A29" t="s">
        <v>508</v>
      </c>
      <c r="D29" s="1">
        <v>614</v>
      </c>
      <c r="E29" s="1"/>
      <c r="F29" s="23">
        <f t="shared" si="16"/>
        <v>614</v>
      </c>
      <c r="H29" s="1">
        <v>0.88</v>
      </c>
      <c r="I29" s="24">
        <f t="shared" si="29"/>
        <v>0</v>
      </c>
      <c r="J29" s="24">
        <f t="shared" si="29"/>
        <v>540.32000000000005</v>
      </c>
      <c r="K29" s="24">
        <f t="shared" si="3"/>
        <v>540.32000000000005</v>
      </c>
      <c r="L29" s="1"/>
      <c r="M29" s="1">
        <f>D29*0.79</f>
        <v>485.06</v>
      </c>
      <c r="O29" s="66"/>
      <c r="P29" s="25">
        <v>0.32</v>
      </c>
      <c r="R29">
        <v>4000</v>
      </c>
      <c r="S29">
        <v>160</v>
      </c>
      <c r="T29">
        <v>1.5</v>
      </c>
      <c r="U29" s="1">
        <v>0.4</v>
      </c>
      <c r="V29" s="14">
        <v>0.6</v>
      </c>
      <c r="W29" s="26">
        <f t="shared" si="4"/>
        <v>76.99703148684614</v>
      </c>
      <c r="X29" s="26">
        <f t="shared" si="5"/>
        <v>3.0798812594738454</v>
      </c>
      <c r="Y29">
        <v>2</v>
      </c>
      <c r="Z29" s="27">
        <v>1</v>
      </c>
      <c r="AA29">
        <v>0.6</v>
      </c>
      <c r="AB29" s="28">
        <f t="shared" si="26"/>
        <v>420.86016000000001</v>
      </c>
      <c r="AC29" s="1">
        <f t="shared" si="6"/>
        <v>280.57344000000006</v>
      </c>
      <c r="AD29" s="23">
        <f t="shared" si="18"/>
        <v>701.43360000000007</v>
      </c>
      <c r="AE29" s="55">
        <f t="shared" si="27"/>
        <v>9.8080000000000001E-2</v>
      </c>
      <c r="AF29" s="30">
        <f t="shared" si="19"/>
        <v>540.32000000000005</v>
      </c>
      <c r="AG29" s="28">
        <f t="shared" si="7"/>
        <v>85.899813252512743</v>
      </c>
      <c r="AH29" s="28">
        <f t="shared" si="8"/>
        <v>3.4359925301005099</v>
      </c>
      <c r="AI29" s="28">
        <f t="shared" si="20"/>
        <v>0</v>
      </c>
      <c r="AJ29" s="29">
        <f t="shared" si="21"/>
        <v>485.06</v>
      </c>
      <c r="AN29" s="109">
        <v>1.2</v>
      </c>
      <c r="AO29" s="109">
        <v>0.6</v>
      </c>
      <c r="AP29" s="116">
        <f t="shared" si="9"/>
        <v>324.19200000000001</v>
      </c>
      <c r="AQ29" s="109">
        <f t="shared" si="10"/>
        <v>0</v>
      </c>
      <c r="AR29" s="109">
        <f t="shared" si="11"/>
        <v>404.2166666666667</v>
      </c>
      <c r="AS29" s="109">
        <f t="shared" si="12"/>
        <v>0</v>
      </c>
      <c r="AU29" s="117">
        <f t="shared" si="22"/>
        <v>5.8847999999999998E-2</v>
      </c>
      <c r="AV29" s="109">
        <v>1.1200000000000001</v>
      </c>
      <c r="AW29" s="109">
        <f t="shared" si="30"/>
        <v>687.68000000000006</v>
      </c>
      <c r="AX29" s="109">
        <f t="shared" si="13"/>
        <v>1228</v>
      </c>
      <c r="AY29" s="109">
        <f t="shared" si="14"/>
        <v>785.60563200000013</v>
      </c>
      <c r="AZ29" s="116">
        <f t="shared" si="15"/>
        <v>314.24225280000007</v>
      </c>
      <c r="BB29" s="116" t="s">
        <v>490</v>
      </c>
      <c r="BC29" s="116">
        <v>3133708</v>
      </c>
      <c r="BD29" s="116">
        <f t="shared" si="24"/>
        <v>3133.7080000000001</v>
      </c>
      <c r="BF29" s="109">
        <f t="shared" si="25"/>
        <v>0</v>
      </c>
      <c r="BH29" s="109">
        <f t="shared" si="28"/>
        <v>196.48000000000002</v>
      </c>
    </row>
    <row r="30" spans="1:60" x14ac:dyDescent="0.25">
      <c r="A30" t="s">
        <v>88</v>
      </c>
      <c r="D30" s="1">
        <v>8532</v>
      </c>
      <c r="E30" s="1">
        <f>D30*0.1</f>
        <v>853.2</v>
      </c>
      <c r="F30" s="23">
        <f>D30-E30</f>
        <v>7678.8</v>
      </c>
      <c r="H30" s="1">
        <v>0.09</v>
      </c>
      <c r="I30" s="24">
        <f t="shared" si="29"/>
        <v>0</v>
      </c>
      <c r="J30" s="24">
        <f t="shared" si="29"/>
        <v>767.88</v>
      </c>
      <c r="K30" s="24">
        <f t="shared" si="3"/>
        <v>767.88</v>
      </c>
      <c r="L30" s="1"/>
      <c r="M30" s="1">
        <f>D30*0.02</f>
        <v>170.64000000000001</v>
      </c>
      <c r="P30" s="25">
        <f t="shared" si="31"/>
        <v>0.02</v>
      </c>
      <c r="R30">
        <v>5000</v>
      </c>
      <c r="T30">
        <v>15</v>
      </c>
      <c r="U30" s="1">
        <v>0.4</v>
      </c>
      <c r="V30" s="14">
        <v>0.6</v>
      </c>
      <c r="W30" s="26">
        <f t="shared" si="4"/>
        <v>1203.6742780561769</v>
      </c>
      <c r="X30" s="26">
        <f t="shared" si="5"/>
        <v>0</v>
      </c>
      <c r="Y30">
        <v>0</v>
      </c>
      <c r="Z30" s="27">
        <v>1</v>
      </c>
      <c r="AB30" s="28">
        <f t="shared" si="26"/>
        <v>0</v>
      </c>
      <c r="AC30" s="1">
        <f t="shared" si="6"/>
        <v>8772.261120000001</v>
      </c>
      <c r="AD30" s="23">
        <f t="shared" si="18"/>
        <v>8772.261120000001</v>
      </c>
      <c r="AE30" s="55">
        <f t="shared" si="27"/>
        <v>6.13E-3</v>
      </c>
      <c r="AF30" s="30">
        <f t="shared" si="19"/>
        <v>767.88</v>
      </c>
      <c r="AG30" s="28">
        <f t="shared" si="7"/>
        <v>1342.8491164564225</v>
      </c>
      <c r="AH30" s="28">
        <f t="shared" si="8"/>
        <v>0</v>
      </c>
      <c r="AI30" s="28">
        <f t="shared" si="20"/>
        <v>0</v>
      </c>
      <c r="AJ30" s="29">
        <f t="shared" si="21"/>
        <v>170.64000000000001</v>
      </c>
      <c r="AN30" s="109">
        <v>1.2</v>
      </c>
      <c r="AO30" s="109">
        <v>0.6</v>
      </c>
      <c r="AP30" s="116">
        <f t="shared" si="9"/>
        <v>460.72799999999995</v>
      </c>
      <c r="AQ30" s="109">
        <f t="shared" si="10"/>
        <v>0</v>
      </c>
      <c r="AR30" s="109">
        <f t="shared" si="11"/>
        <v>142.20000000000002</v>
      </c>
      <c r="AS30" s="109">
        <f t="shared" si="12"/>
        <v>0</v>
      </c>
      <c r="AU30" s="117">
        <f t="shared" si="22"/>
        <v>3.6779999999999998E-3</v>
      </c>
      <c r="AV30" s="109">
        <v>0.02</v>
      </c>
      <c r="AW30" s="109">
        <f t="shared" si="30"/>
        <v>153.57599999999999</v>
      </c>
      <c r="AX30" s="109">
        <f t="shared" si="13"/>
        <v>921.45600000000002</v>
      </c>
      <c r="AY30" s="109">
        <f t="shared" si="14"/>
        <v>175.44522240000003</v>
      </c>
      <c r="AZ30" s="116">
        <f t="shared" si="15"/>
        <v>175.44522240000003</v>
      </c>
      <c r="BB30" s="116" t="s">
        <v>491</v>
      </c>
      <c r="BC30" s="116">
        <v>576699</v>
      </c>
      <c r="BD30" s="116">
        <f t="shared" si="24"/>
        <v>576.69899999999996</v>
      </c>
      <c r="BF30" s="109">
        <f t="shared" si="25"/>
        <v>0</v>
      </c>
      <c r="BH30" s="109">
        <f t="shared" si="28"/>
        <v>153.57599999999999</v>
      </c>
    </row>
    <row r="31" spans="1:60" x14ac:dyDescent="0.25">
      <c r="A31" t="s">
        <v>89</v>
      </c>
      <c r="D31" s="1">
        <v>125</v>
      </c>
      <c r="E31" s="1"/>
      <c r="F31" s="23">
        <f t="shared" si="16"/>
        <v>125</v>
      </c>
      <c r="H31" s="1"/>
      <c r="I31" s="24"/>
      <c r="J31" s="24"/>
      <c r="K31" s="24">
        <f t="shared" si="3"/>
        <v>0</v>
      </c>
      <c r="L31" s="1"/>
      <c r="M31" s="1">
        <f>D31*1.1</f>
        <v>137.5</v>
      </c>
      <c r="P31" s="25">
        <f t="shared" si="31"/>
        <v>1.1000000000000001</v>
      </c>
      <c r="R31">
        <v>6600</v>
      </c>
      <c r="S31">
        <v>1</v>
      </c>
      <c r="T31">
        <v>1.5</v>
      </c>
      <c r="U31" s="1">
        <v>0.4</v>
      </c>
      <c r="V31" s="14">
        <v>0.6</v>
      </c>
      <c r="W31" s="26">
        <f t="shared" si="4"/>
        <v>25.864230853684063</v>
      </c>
      <c r="X31" s="26">
        <f t="shared" si="5"/>
        <v>3.9188228566187974E-3</v>
      </c>
      <c r="Y31">
        <v>0.6</v>
      </c>
      <c r="Z31" s="27">
        <v>1</v>
      </c>
      <c r="AA31">
        <v>0.2</v>
      </c>
      <c r="AB31" s="28">
        <f t="shared" si="26"/>
        <v>28.560000000000002</v>
      </c>
      <c r="AC31" s="1">
        <f t="shared" si="6"/>
        <v>114.24000000000001</v>
      </c>
      <c r="AD31" s="23">
        <f t="shared" si="18"/>
        <v>142.80000000000001</v>
      </c>
      <c r="AE31" s="55">
        <f t="shared" si="27"/>
        <v>0.33715000000000001</v>
      </c>
      <c r="AF31" s="30">
        <f t="shared" si="19"/>
        <v>0</v>
      </c>
      <c r="AG31" s="28">
        <f t="shared" si="7"/>
        <v>28.854782546141291</v>
      </c>
      <c r="AH31" s="28">
        <f t="shared" si="8"/>
        <v>4.3719367494153474E-3</v>
      </c>
      <c r="AI31" s="28">
        <f t="shared" si="20"/>
        <v>0</v>
      </c>
      <c r="AJ31" s="29">
        <f t="shared" si="21"/>
        <v>137.5</v>
      </c>
      <c r="AN31" s="109">
        <v>1.2</v>
      </c>
      <c r="AO31" s="109">
        <v>0.6</v>
      </c>
      <c r="AP31" s="116">
        <f t="shared" si="9"/>
        <v>0</v>
      </c>
      <c r="AQ31" s="109">
        <f t="shared" si="10"/>
        <v>0</v>
      </c>
      <c r="AR31" s="109">
        <f t="shared" si="11"/>
        <v>114.58333333333334</v>
      </c>
      <c r="AS31" s="109">
        <f t="shared" si="12"/>
        <v>0</v>
      </c>
      <c r="AU31" s="117">
        <f t="shared" si="22"/>
        <v>0.20229</v>
      </c>
      <c r="AX31" s="109">
        <f t="shared" si="13"/>
        <v>0</v>
      </c>
      <c r="AY31" s="109">
        <f t="shared" si="14"/>
        <v>0</v>
      </c>
      <c r="AZ31" s="116">
        <f t="shared" si="15"/>
        <v>0</v>
      </c>
      <c r="BB31" s="116" t="s">
        <v>492</v>
      </c>
      <c r="BC31" s="116">
        <v>45933</v>
      </c>
      <c r="BD31" s="116">
        <f t="shared" si="24"/>
        <v>45.933</v>
      </c>
      <c r="BF31" s="109">
        <f t="shared" si="25"/>
        <v>0</v>
      </c>
      <c r="BH31" s="109">
        <f t="shared" si="28"/>
        <v>137.5</v>
      </c>
    </row>
    <row r="32" spans="1:60" x14ac:dyDescent="0.25">
      <c r="A32" s="1" t="s">
        <v>90</v>
      </c>
      <c r="D32" s="1">
        <v>500</v>
      </c>
      <c r="E32" s="1"/>
      <c r="F32" s="23">
        <f t="shared" si="16"/>
        <v>500</v>
      </c>
      <c r="H32" s="1">
        <v>0.8</v>
      </c>
      <c r="I32" s="24">
        <f>C32*G32</f>
        <v>0</v>
      </c>
      <c r="J32" s="24">
        <f>D32*H32</f>
        <v>400</v>
      </c>
      <c r="K32" s="24">
        <f t="shared" si="3"/>
        <v>400</v>
      </c>
      <c r="L32" s="1"/>
      <c r="M32" s="1">
        <f>D32*P32</f>
        <v>150</v>
      </c>
      <c r="P32" s="25">
        <v>0.3</v>
      </c>
      <c r="U32" s="1">
        <v>0.4</v>
      </c>
      <c r="V32" s="14">
        <v>0.6</v>
      </c>
      <c r="W32" s="26">
        <f t="shared" si="4"/>
        <v>0</v>
      </c>
      <c r="X32" s="26">
        <f t="shared" si="5"/>
        <v>0</v>
      </c>
      <c r="Y32">
        <v>0</v>
      </c>
      <c r="Z32" s="27">
        <v>1</v>
      </c>
      <c r="AB32" s="28">
        <f t="shared" si="26"/>
        <v>0</v>
      </c>
      <c r="AC32" s="1">
        <f t="shared" si="6"/>
        <v>571.20000000000005</v>
      </c>
      <c r="AD32" s="23">
        <f t="shared" si="18"/>
        <v>571.20000000000005</v>
      </c>
      <c r="AE32" s="55">
        <f t="shared" si="27"/>
        <v>9.194999999999999E-2</v>
      </c>
      <c r="AF32" s="30">
        <f t="shared" si="19"/>
        <v>400</v>
      </c>
      <c r="AG32" s="28">
        <f t="shared" si="7"/>
        <v>0</v>
      </c>
      <c r="AH32" s="28">
        <f t="shared" si="8"/>
        <v>0</v>
      </c>
      <c r="AI32" s="28">
        <f t="shared" si="20"/>
        <v>0</v>
      </c>
      <c r="AJ32" s="29">
        <f t="shared" si="21"/>
        <v>150</v>
      </c>
      <c r="AO32" s="109">
        <v>0.6</v>
      </c>
      <c r="AP32" s="116">
        <f t="shared" ref="AP32:AP42" si="32">AF32*AO32</f>
        <v>240</v>
      </c>
      <c r="AU32" s="117">
        <f t="shared" si="22"/>
        <v>5.516999999999999E-2</v>
      </c>
      <c r="AV32" s="109">
        <v>0.5</v>
      </c>
      <c r="AW32" s="109">
        <f>AV32*F32</f>
        <v>250</v>
      </c>
      <c r="AX32" s="109">
        <f t="shared" si="13"/>
        <v>650</v>
      </c>
      <c r="AY32" s="109">
        <f t="shared" si="14"/>
        <v>285.60000000000002</v>
      </c>
      <c r="AZ32" s="116">
        <f t="shared" si="15"/>
        <v>285.60000000000002</v>
      </c>
      <c r="BB32" s="116" t="s">
        <v>493</v>
      </c>
      <c r="BC32" s="116">
        <v>165294</v>
      </c>
      <c r="BD32" s="116">
        <f t="shared" si="24"/>
        <v>165.29400000000001</v>
      </c>
      <c r="BF32" s="109">
        <f t="shared" si="25"/>
        <v>0</v>
      </c>
      <c r="BH32" s="109">
        <f t="shared" si="28"/>
        <v>150</v>
      </c>
    </row>
    <row r="33" spans="1:64" x14ac:dyDescent="0.25">
      <c r="D33" s="1"/>
      <c r="E33" s="1"/>
      <c r="F33" s="23">
        <f t="shared" si="16"/>
        <v>0</v>
      </c>
      <c r="H33" s="1"/>
      <c r="I33" s="24">
        <f>C33*G33</f>
        <v>0</v>
      </c>
      <c r="J33" s="24">
        <f>D33*H33</f>
        <v>0</v>
      </c>
      <c r="K33" s="24">
        <f t="shared" si="3"/>
        <v>0</v>
      </c>
      <c r="L33" s="1"/>
      <c r="M33" s="1"/>
      <c r="P33" s="25"/>
      <c r="W33" s="26"/>
      <c r="X33" s="26"/>
      <c r="Y33">
        <v>0</v>
      </c>
      <c r="Z33" s="27">
        <v>1</v>
      </c>
      <c r="AB33" s="28">
        <f t="shared" si="26"/>
        <v>0</v>
      </c>
      <c r="AC33" s="1">
        <f t="shared" si="6"/>
        <v>0</v>
      </c>
      <c r="AD33" s="23">
        <f t="shared" si="18"/>
        <v>0</v>
      </c>
      <c r="AE33" s="55">
        <f t="shared" si="27"/>
        <v>0</v>
      </c>
      <c r="AF33" s="30">
        <f t="shared" si="19"/>
        <v>0</v>
      </c>
      <c r="AG33" s="28">
        <f t="shared" si="7"/>
        <v>0</v>
      </c>
      <c r="AH33" s="28">
        <f t="shared" si="8"/>
        <v>0</v>
      </c>
      <c r="AI33" s="28">
        <f t="shared" si="20"/>
        <v>0</v>
      </c>
      <c r="AJ33" s="29">
        <f t="shared" si="21"/>
        <v>0</v>
      </c>
      <c r="AL33" s="31">
        <f>AD29+AD19+AD18</f>
        <v>1020.6201600000002</v>
      </c>
      <c r="AM33" s="31"/>
      <c r="AP33" s="116">
        <f t="shared" si="32"/>
        <v>0</v>
      </c>
      <c r="AU33" s="117">
        <f t="shared" si="22"/>
        <v>0</v>
      </c>
      <c r="AW33" s="109">
        <f>AV33*F33</f>
        <v>0</v>
      </c>
      <c r="AX33" s="109">
        <f t="shared" si="13"/>
        <v>0</v>
      </c>
      <c r="AY33" s="109">
        <f t="shared" si="14"/>
        <v>0</v>
      </c>
      <c r="AZ33" s="116">
        <f t="shared" si="15"/>
        <v>0</v>
      </c>
      <c r="BB33" s="117"/>
      <c r="BC33" s="116"/>
      <c r="BD33" s="116"/>
      <c r="BF33" s="109">
        <f t="shared" si="25"/>
        <v>0</v>
      </c>
      <c r="BH33" s="109">
        <f t="shared" si="28"/>
        <v>0</v>
      </c>
    </row>
    <row r="34" spans="1:64" x14ac:dyDescent="0.25">
      <c r="D34" s="1"/>
      <c r="E34" s="1"/>
      <c r="I34" s="24"/>
      <c r="J34" s="24"/>
      <c r="K34" s="24">
        <f t="shared" si="3"/>
        <v>0</v>
      </c>
      <c r="L34" s="1"/>
      <c r="M34" s="1"/>
      <c r="P34" s="25"/>
      <c r="W34" s="26"/>
      <c r="X34" s="26"/>
      <c r="Y34">
        <v>0</v>
      </c>
      <c r="Z34" s="27">
        <v>1</v>
      </c>
      <c r="AB34" s="28">
        <f t="shared" si="26"/>
        <v>0</v>
      </c>
      <c r="AC34" s="1">
        <f t="shared" si="6"/>
        <v>0</v>
      </c>
      <c r="AD34" s="23">
        <f t="shared" si="18"/>
        <v>0</v>
      </c>
      <c r="AE34" s="55"/>
      <c r="AF34" s="30">
        <f t="shared" si="19"/>
        <v>0</v>
      </c>
      <c r="AG34" s="28">
        <f t="shared" si="7"/>
        <v>0</v>
      </c>
      <c r="AH34" s="28">
        <f t="shared" si="8"/>
        <v>0</v>
      </c>
      <c r="AI34" s="28">
        <f t="shared" si="20"/>
        <v>0</v>
      </c>
      <c r="AJ34" s="29">
        <f t="shared" si="21"/>
        <v>0</v>
      </c>
      <c r="AP34" s="116"/>
      <c r="AU34" s="117">
        <f t="shared" si="22"/>
        <v>0</v>
      </c>
      <c r="AZ34" s="116"/>
      <c r="BB34" s="117"/>
      <c r="BC34" s="116"/>
      <c r="BD34" s="116"/>
      <c r="BF34" s="109">
        <f t="shared" si="25"/>
        <v>0</v>
      </c>
      <c r="BH34" s="109">
        <f t="shared" si="28"/>
        <v>0</v>
      </c>
    </row>
    <row r="35" spans="1:64" x14ac:dyDescent="0.25">
      <c r="A35" t="s">
        <v>91</v>
      </c>
      <c r="B35" s="1">
        <v>1729</v>
      </c>
      <c r="C35">
        <v>1729</v>
      </c>
      <c r="D35" s="1">
        <v>435</v>
      </c>
      <c r="E35" s="1"/>
      <c r="F35" s="23">
        <f>C35+D35</f>
        <v>2164</v>
      </c>
      <c r="G35" s="26">
        <v>10.37</v>
      </c>
      <c r="H35" s="1">
        <v>12.5</v>
      </c>
      <c r="I35" s="24">
        <f>C35*G35</f>
        <v>17929.73</v>
      </c>
      <c r="J35" s="24">
        <f>D35*H35</f>
        <v>5437.5</v>
      </c>
      <c r="K35" s="24">
        <f t="shared" si="3"/>
        <v>23367.23</v>
      </c>
      <c r="L35" s="1">
        <v>354</v>
      </c>
      <c r="M35" s="1">
        <v>92</v>
      </c>
      <c r="N35">
        <v>1691</v>
      </c>
      <c r="O35" s="31">
        <f>N35*(D35/B35)</f>
        <v>425.43956043956047</v>
      </c>
      <c r="P35" s="25">
        <f t="shared" ref="P35:P40" si="33">(M35+L35)/F35</f>
        <v>0.20609981515711645</v>
      </c>
      <c r="Q35" s="25">
        <f t="shared" ref="Q35:Q42" si="34">(O35+N35)/F35</f>
        <v>0.97802197802197799</v>
      </c>
      <c r="R35">
        <v>2000</v>
      </c>
      <c r="S35">
        <v>254</v>
      </c>
      <c r="T35">
        <v>4</v>
      </c>
      <c r="U35" s="25">
        <v>0.16</v>
      </c>
      <c r="V35" s="25">
        <v>0.17</v>
      </c>
      <c r="W35" s="26">
        <f>(R35*F35)*(CONSTOT/RDCTOT)/62.5/365</f>
        <v>135.68532258756923</v>
      </c>
      <c r="X35" s="26">
        <f>S35*F35*CONSTOT/RDCTOT/62.5/365</f>
        <v>17.232035968621297</v>
      </c>
      <c r="Y35">
        <v>0.2</v>
      </c>
      <c r="Z35" s="27">
        <v>1</v>
      </c>
      <c r="AA35">
        <v>1</v>
      </c>
      <c r="AB35" s="28">
        <f t="shared" ref="AB35:AB42" si="35">(F35*Z35*AA35)*SCENARIOPOP/62.5</f>
        <v>2472.1536000000001</v>
      </c>
      <c r="AC35" s="1">
        <f t="shared" ref="AC35:AC42" si="36">(F35*Z35*(1-AA35))*SCENARIOPOP/62.5</f>
        <v>0</v>
      </c>
      <c r="AD35" s="23">
        <f t="shared" si="18"/>
        <v>2472.1536000000001</v>
      </c>
      <c r="AE35" s="55">
        <f>G35*(1-U35)-(G35*V35)/3</f>
        <v>8.1231666666666662</v>
      </c>
      <c r="AF35" s="30">
        <f t="shared" si="19"/>
        <v>23367.23</v>
      </c>
      <c r="AG35" s="28">
        <f t="shared" si="7"/>
        <v>151.37393801175696</v>
      </c>
      <c r="AH35" s="28">
        <f t="shared" si="8"/>
        <v>19.224490127493134</v>
      </c>
      <c r="AI35" s="28">
        <f t="shared" si="20"/>
        <v>354</v>
      </c>
      <c r="AJ35" s="29">
        <f t="shared" si="21"/>
        <v>92</v>
      </c>
      <c r="AK35">
        <f t="shared" ref="AK35:AK41" si="37">AB35*Q35</f>
        <v>2417.8205538461539</v>
      </c>
      <c r="AN35" s="109">
        <v>1.2</v>
      </c>
      <c r="AO35" s="109">
        <v>0.6</v>
      </c>
      <c r="AP35" s="116">
        <f t="shared" si="32"/>
        <v>14020.338</v>
      </c>
      <c r="AQ35" s="109">
        <f t="shared" ref="AQ35:AQ42" si="38">(AI35)/AN35</f>
        <v>295</v>
      </c>
      <c r="AR35" s="109">
        <f t="shared" ref="AR35:AR42" si="39">AJ35/AN35</f>
        <v>76.666666666666671</v>
      </c>
      <c r="AS35" s="109">
        <f t="shared" ref="AS35:AS42" si="40">AK35/AN35</f>
        <v>2014.8504615384616</v>
      </c>
      <c r="AU35" s="117">
        <f t="shared" si="22"/>
        <v>4.8738999999999999</v>
      </c>
      <c r="AV35" s="109">
        <v>6.5</v>
      </c>
      <c r="AW35" s="109">
        <f>AV35*F35</f>
        <v>14066</v>
      </c>
      <c r="AX35" s="109">
        <f>I35+J35+(AV35*F35)</f>
        <v>37433.229999999996</v>
      </c>
      <c r="AY35" s="109">
        <f t="shared" si="14"/>
        <v>16068.9984</v>
      </c>
      <c r="AZ35" s="116">
        <f t="shared" si="15"/>
        <v>0</v>
      </c>
      <c r="BB35" s="117"/>
      <c r="BC35" s="116"/>
      <c r="BD35" s="116"/>
      <c r="BF35" s="109">
        <f t="shared" ref="BF35:BF43" si="41">G35*Z35*F35</f>
        <v>22440.679999999997</v>
      </c>
      <c r="BH35" s="109">
        <f t="shared" si="28"/>
        <v>2562.4395604395604</v>
      </c>
    </row>
    <row r="36" spans="1:64" x14ac:dyDescent="0.25">
      <c r="A36" t="s">
        <v>92</v>
      </c>
      <c r="B36" s="1">
        <v>933</v>
      </c>
      <c r="C36">
        <f t="shared" ref="C36:C43" si="42">B36</f>
        <v>933</v>
      </c>
      <c r="D36" s="1">
        <v>209</v>
      </c>
      <c r="E36" s="1"/>
      <c r="F36" s="23">
        <f t="shared" si="16"/>
        <v>1142</v>
      </c>
      <c r="G36" s="26">
        <v>12.6</v>
      </c>
      <c r="H36" s="1">
        <v>14</v>
      </c>
      <c r="I36" s="24">
        <f t="shared" ref="I36:I43" si="43">C36*G36</f>
        <v>11755.8</v>
      </c>
      <c r="J36" s="24">
        <f t="shared" ref="J36:J43" si="44">D36*H36</f>
        <v>2926</v>
      </c>
      <c r="K36" s="24">
        <f t="shared" si="3"/>
        <v>14681.8</v>
      </c>
      <c r="L36" s="1">
        <v>288</v>
      </c>
      <c r="M36" s="1">
        <v>160</v>
      </c>
      <c r="N36" s="1">
        <v>4311</v>
      </c>
      <c r="O36" s="1">
        <v>562</v>
      </c>
      <c r="P36" s="25">
        <f t="shared" si="33"/>
        <v>0.39229422066549913</v>
      </c>
      <c r="Q36" s="25">
        <f t="shared" si="34"/>
        <v>4.2670753064798603</v>
      </c>
      <c r="R36">
        <v>1200</v>
      </c>
      <c r="S36">
        <v>152</v>
      </c>
      <c r="T36">
        <v>3</v>
      </c>
      <c r="U36" s="25">
        <v>0.15</v>
      </c>
      <c r="V36" s="25">
        <v>0.21</v>
      </c>
      <c r="W36" s="26">
        <f t="shared" si="4"/>
        <v>42.962838741683207</v>
      </c>
      <c r="X36" s="26">
        <f t="shared" si="5"/>
        <v>5.441959573946539</v>
      </c>
      <c r="Y36">
        <v>0.1</v>
      </c>
      <c r="Z36" s="27">
        <v>1</v>
      </c>
      <c r="AA36">
        <v>1</v>
      </c>
      <c r="AB36" s="28">
        <f t="shared" si="35"/>
        <v>1304.6208000000001</v>
      </c>
      <c r="AC36" s="1">
        <f t="shared" si="36"/>
        <v>0</v>
      </c>
      <c r="AD36" s="23">
        <f t="shared" si="18"/>
        <v>1304.6208000000001</v>
      </c>
      <c r="AE36" s="55">
        <f>G36*(1-U36)-(G36*V36)/3</f>
        <v>9.8279999999999994</v>
      </c>
      <c r="AF36" s="30">
        <f t="shared" si="19"/>
        <v>14681.8</v>
      </c>
      <c r="AG36" s="28">
        <f t="shared" si="7"/>
        <v>47.930416971190333</v>
      </c>
      <c r="AH36" s="28">
        <f t="shared" si="8"/>
        <v>6.0711861496841095</v>
      </c>
      <c r="AI36" s="28">
        <f t="shared" si="20"/>
        <v>288</v>
      </c>
      <c r="AJ36" s="29">
        <f t="shared" si="21"/>
        <v>160</v>
      </c>
      <c r="AK36">
        <f t="shared" si="37"/>
        <v>5566.9152000000013</v>
      </c>
      <c r="AN36" s="109">
        <v>1.2</v>
      </c>
      <c r="AO36" s="109">
        <v>0.6</v>
      </c>
      <c r="AP36" s="116">
        <f t="shared" si="32"/>
        <v>8809.08</v>
      </c>
      <c r="AQ36" s="109">
        <f t="shared" si="38"/>
        <v>240</v>
      </c>
      <c r="AR36" s="109">
        <f t="shared" si="39"/>
        <v>133.33333333333334</v>
      </c>
      <c r="AS36" s="109">
        <f t="shared" si="40"/>
        <v>4639.0960000000014</v>
      </c>
      <c r="AU36" s="117">
        <f t="shared" si="22"/>
        <v>5.8967999999999998</v>
      </c>
      <c r="AV36" s="109">
        <v>53</v>
      </c>
      <c r="AW36" s="109">
        <f t="shared" ref="AW36:AW43" si="45">AV36*F36</f>
        <v>60526</v>
      </c>
      <c r="AX36" s="109">
        <f t="shared" si="13"/>
        <v>75207.8</v>
      </c>
      <c r="AY36" s="109">
        <f t="shared" si="14"/>
        <v>69144.902400000006</v>
      </c>
      <c r="AZ36" s="116">
        <f t="shared" si="15"/>
        <v>0</v>
      </c>
      <c r="BB36" s="117"/>
      <c r="BC36" s="116"/>
      <c r="BD36" s="116"/>
      <c r="BF36" s="109">
        <f t="shared" si="41"/>
        <v>14389.199999999999</v>
      </c>
      <c r="BH36" s="109">
        <f t="shared" si="28"/>
        <v>5321</v>
      </c>
    </row>
    <row r="37" spans="1:64" x14ac:dyDescent="0.25">
      <c r="A37" t="s">
        <v>93</v>
      </c>
      <c r="B37" s="1">
        <v>301</v>
      </c>
      <c r="C37">
        <f t="shared" si="42"/>
        <v>301</v>
      </c>
      <c r="D37" s="1">
        <v>40</v>
      </c>
      <c r="E37" s="1"/>
      <c r="F37" s="23">
        <f t="shared" si="16"/>
        <v>341</v>
      </c>
      <c r="G37" s="26">
        <v>14.6</v>
      </c>
      <c r="H37" s="26">
        <v>17</v>
      </c>
      <c r="I37" s="24">
        <f t="shared" si="43"/>
        <v>4394.5999999999995</v>
      </c>
      <c r="J37" s="24">
        <f t="shared" si="44"/>
        <v>680</v>
      </c>
      <c r="K37" s="24">
        <f t="shared" si="3"/>
        <v>5074.5999999999995</v>
      </c>
      <c r="L37" s="1">
        <v>47</v>
      </c>
      <c r="M37" s="1">
        <v>17</v>
      </c>
      <c r="N37" s="1">
        <v>5225</v>
      </c>
      <c r="O37" s="1">
        <v>58</v>
      </c>
      <c r="P37" s="25">
        <f t="shared" si="33"/>
        <v>0.18768328445747801</v>
      </c>
      <c r="Q37" s="25">
        <f t="shared" si="34"/>
        <v>15.492668621700879</v>
      </c>
      <c r="R37">
        <v>1800</v>
      </c>
      <c r="S37">
        <v>146</v>
      </c>
      <c r="T37">
        <v>3</v>
      </c>
      <c r="U37" s="25">
        <v>0.09</v>
      </c>
      <c r="V37" s="25">
        <v>0.2</v>
      </c>
      <c r="W37" s="26">
        <f t="shared" si="4"/>
        <v>19.242987755140945</v>
      </c>
      <c r="X37" s="26">
        <f t="shared" si="5"/>
        <v>1.5608201179169878</v>
      </c>
      <c r="Y37">
        <v>0.2</v>
      </c>
      <c r="Z37" s="27">
        <v>1</v>
      </c>
      <c r="AA37">
        <v>1</v>
      </c>
      <c r="AB37" s="28">
        <f t="shared" si="35"/>
        <v>389.55840000000001</v>
      </c>
      <c r="AC37" s="1">
        <f t="shared" si="36"/>
        <v>0</v>
      </c>
      <c r="AD37" s="23">
        <f t="shared" si="18"/>
        <v>389.55840000000001</v>
      </c>
      <c r="AE37" s="55">
        <f>G37*(1-U37)-(G37*V37)/3</f>
        <v>12.312666666666667</v>
      </c>
      <c r="AF37" s="30">
        <f t="shared" si="19"/>
        <v>5074.5999999999995</v>
      </c>
      <c r="AG37" s="28">
        <f t="shared" si="7"/>
        <v>21.467958214329119</v>
      </c>
      <c r="AH37" s="28">
        <f t="shared" si="8"/>
        <v>1.7412899440511398</v>
      </c>
      <c r="AI37" s="28">
        <f t="shared" si="20"/>
        <v>47</v>
      </c>
      <c r="AJ37" s="29">
        <f t="shared" si="21"/>
        <v>17</v>
      </c>
      <c r="AK37">
        <f t="shared" si="37"/>
        <v>6035.2991999999995</v>
      </c>
      <c r="AN37" s="109">
        <v>1.2</v>
      </c>
      <c r="AO37" s="109">
        <v>0.6</v>
      </c>
      <c r="AP37" s="116">
        <f t="shared" si="32"/>
        <v>3044.7599999999998</v>
      </c>
      <c r="AQ37" s="109">
        <f t="shared" si="38"/>
        <v>39.166666666666671</v>
      </c>
      <c r="AR37" s="109">
        <f t="shared" si="39"/>
        <v>14.166666666666668</v>
      </c>
      <c r="AS37" s="109">
        <f t="shared" si="40"/>
        <v>5029.4160000000002</v>
      </c>
      <c r="AU37" s="117">
        <f t="shared" si="22"/>
        <v>7.3875999999999999</v>
      </c>
      <c r="AV37" s="109">
        <v>50</v>
      </c>
      <c r="AW37" s="109">
        <f t="shared" si="45"/>
        <v>17050</v>
      </c>
      <c r="AX37" s="109">
        <f t="shared" si="13"/>
        <v>22124.6</v>
      </c>
      <c r="AY37" s="109">
        <f t="shared" si="14"/>
        <v>19477.920000000002</v>
      </c>
      <c r="AZ37" s="116">
        <f t="shared" si="15"/>
        <v>0</v>
      </c>
      <c r="BF37" s="109">
        <f t="shared" si="41"/>
        <v>4978.5999999999995</v>
      </c>
      <c r="BH37" s="109">
        <f t="shared" si="28"/>
        <v>5347</v>
      </c>
    </row>
    <row r="38" spans="1:64" x14ac:dyDescent="0.25">
      <c r="A38" t="s">
        <v>94</v>
      </c>
      <c r="B38" s="1">
        <v>759</v>
      </c>
      <c r="C38">
        <f t="shared" si="42"/>
        <v>759</v>
      </c>
      <c r="D38" s="1">
        <v>800</v>
      </c>
      <c r="E38" s="1"/>
      <c r="F38" s="23">
        <f t="shared" si="16"/>
        <v>1559</v>
      </c>
      <c r="G38" s="26">
        <v>4.04</v>
      </c>
      <c r="H38" s="26">
        <v>5</v>
      </c>
      <c r="I38" s="24">
        <f t="shared" si="43"/>
        <v>3066.36</v>
      </c>
      <c r="J38" s="24">
        <f t="shared" si="44"/>
        <v>4000</v>
      </c>
      <c r="K38" s="24">
        <f t="shared" si="3"/>
        <v>7066.3600000000006</v>
      </c>
      <c r="L38" s="1">
        <v>265</v>
      </c>
      <c r="M38" s="1">
        <v>652</v>
      </c>
      <c r="N38" s="1"/>
      <c r="O38" s="1"/>
      <c r="P38" s="25">
        <f t="shared" si="33"/>
        <v>0.58819756254008981</v>
      </c>
      <c r="Q38" s="25">
        <f t="shared" si="34"/>
        <v>0</v>
      </c>
      <c r="R38">
        <v>2000</v>
      </c>
      <c r="S38">
        <v>150</v>
      </c>
      <c r="T38">
        <v>5</v>
      </c>
      <c r="U38" s="25">
        <v>0.38</v>
      </c>
      <c r="V38" s="25">
        <v>0.24</v>
      </c>
      <c r="W38" s="26">
        <f t="shared" si="4"/>
        <v>97.751117335499288</v>
      </c>
      <c r="X38" s="26">
        <f t="shared" si="5"/>
        <v>7.3313338001624473</v>
      </c>
      <c r="Y38">
        <v>0.4</v>
      </c>
      <c r="Z38" s="27">
        <v>1</v>
      </c>
      <c r="AA38">
        <v>1</v>
      </c>
      <c r="AB38" s="28">
        <f t="shared" si="35"/>
        <v>1781.0016000000001</v>
      </c>
      <c r="AC38" s="1">
        <f t="shared" si="36"/>
        <v>0</v>
      </c>
      <c r="AD38" s="23">
        <f t="shared" si="18"/>
        <v>1781.0016000000001</v>
      </c>
      <c r="AE38" s="55">
        <f>G38*(1-U38)-(G38*V38-0.613*P38)+P38*0.613</f>
        <v>2.2563302116741499</v>
      </c>
      <c r="AF38" s="30">
        <f t="shared" si="19"/>
        <v>7066.3600000000006</v>
      </c>
      <c r="AG38" s="28">
        <f t="shared" si="7"/>
        <v>109.05359027741639</v>
      </c>
      <c r="AH38" s="28">
        <f t="shared" si="8"/>
        <v>8.1790192708062293</v>
      </c>
      <c r="AI38" s="28">
        <f t="shared" si="20"/>
        <v>265</v>
      </c>
      <c r="AJ38" s="29">
        <f t="shared" si="21"/>
        <v>652</v>
      </c>
      <c r="AK38">
        <f t="shared" si="37"/>
        <v>0</v>
      </c>
      <c r="AN38" s="109">
        <v>1.2</v>
      </c>
      <c r="AO38" s="109">
        <v>0.8</v>
      </c>
      <c r="AP38" s="116">
        <f t="shared" si="32"/>
        <v>5653.0880000000006</v>
      </c>
      <c r="AQ38" s="109">
        <f t="shared" si="38"/>
        <v>220.83333333333334</v>
      </c>
      <c r="AR38" s="109">
        <f t="shared" si="39"/>
        <v>543.33333333333337</v>
      </c>
      <c r="AS38" s="109">
        <f t="shared" si="40"/>
        <v>0</v>
      </c>
      <c r="AU38" s="117">
        <f t="shared" si="22"/>
        <v>1.8050641693393201</v>
      </c>
      <c r="AV38" s="109">
        <v>3.35</v>
      </c>
      <c r="AW38" s="109">
        <f t="shared" si="45"/>
        <v>5222.6500000000005</v>
      </c>
      <c r="AX38" s="109">
        <f t="shared" si="13"/>
        <v>12289.010000000002</v>
      </c>
      <c r="AY38" s="109">
        <f t="shared" si="14"/>
        <v>5966.3553600000005</v>
      </c>
      <c r="AZ38" s="116">
        <f t="shared" si="15"/>
        <v>0</v>
      </c>
      <c r="BB38" s="117"/>
      <c r="BF38" s="109">
        <f t="shared" si="41"/>
        <v>6298.36</v>
      </c>
      <c r="BH38" s="109">
        <f t="shared" si="28"/>
        <v>917</v>
      </c>
    </row>
    <row r="39" spans="1:64" x14ac:dyDescent="0.25">
      <c r="A39" t="s">
        <v>95</v>
      </c>
      <c r="B39" s="1">
        <v>1553</v>
      </c>
      <c r="C39">
        <f t="shared" si="42"/>
        <v>1553</v>
      </c>
      <c r="D39" s="1">
        <v>140</v>
      </c>
      <c r="E39" s="1"/>
      <c r="F39" s="23">
        <f t="shared" si="16"/>
        <v>1693</v>
      </c>
      <c r="G39" s="26">
        <v>2.79</v>
      </c>
      <c r="H39" s="26">
        <v>3.7</v>
      </c>
      <c r="I39" s="24">
        <f t="shared" si="43"/>
        <v>4332.87</v>
      </c>
      <c r="J39" s="24">
        <f t="shared" si="44"/>
        <v>518</v>
      </c>
      <c r="K39" s="24">
        <f t="shared" si="3"/>
        <v>4850.87</v>
      </c>
      <c r="L39" s="1">
        <v>416</v>
      </c>
      <c r="M39" s="1">
        <v>684</v>
      </c>
      <c r="N39" s="1"/>
      <c r="O39" s="1"/>
      <c r="P39" s="25">
        <f t="shared" si="33"/>
        <v>0.64973419964559953</v>
      </c>
      <c r="Q39" s="25">
        <f t="shared" si="34"/>
        <v>0</v>
      </c>
      <c r="R39">
        <v>1100</v>
      </c>
      <c r="S39">
        <v>200</v>
      </c>
      <c r="T39">
        <v>5</v>
      </c>
      <c r="U39" s="25">
        <v>0.41</v>
      </c>
      <c r="V39" s="25">
        <v>0.34</v>
      </c>
      <c r="W39" s="26">
        <f t="shared" si="4"/>
        <v>58.384190447049491</v>
      </c>
      <c r="X39" s="26">
        <f t="shared" si="5"/>
        <v>10.615307354008999</v>
      </c>
      <c r="Y39">
        <v>0.4</v>
      </c>
      <c r="Z39" s="27">
        <v>1</v>
      </c>
      <c r="AA39">
        <v>1</v>
      </c>
      <c r="AB39" s="28">
        <f t="shared" si="35"/>
        <v>1934.0832000000003</v>
      </c>
      <c r="AC39" s="1">
        <f t="shared" si="36"/>
        <v>0</v>
      </c>
      <c r="AD39" s="23">
        <f t="shared" si="18"/>
        <v>1934.0832000000003</v>
      </c>
      <c r="AE39" s="55">
        <f>G39*(1-U39)-(G39*V39-0.613*P39)+P39*0.613</f>
        <v>1.4940741287655053</v>
      </c>
      <c r="AF39" s="30">
        <f t="shared" si="19"/>
        <v>4850.87</v>
      </c>
      <c r="AG39" s="28">
        <f t="shared" si="7"/>
        <v>65.134862467489612</v>
      </c>
      <c r="AH39" s="28">
        <f t="shared" si="8"/>
        <v>11.842702266816293</v>
      </c>
      <c r="AI39" s="28">
        <f t="shared" si="20"/>
        <v>416</v>
      </c>
      <c r="AJ39" s="29">
        <f t="shared" si="21"/>
        <v>684</v>
      </c>
      <c r="AK39">
        <f t="shared" si="37"/>
        <v>0</v>
      </c>
      <c r="AN39" s="109">
        <v>1.2</v>
      </c>
      <c r="AO39" s="109">
        <v>0.8</v>
      </c>
      <c r="AP39" s="116">
        <f t="shared" si="32"/>
        <v>3880.6959999999999</v>
      </c>
      <c r="AQ39" s="109">
        <f t="shared" si="38"/>
        <v>346.66666666666669</v>
      </c>
      <c r="AR39" s="109">
        <f t="shared" si="39"/>
        <v>570</v>
      </c>
      <c r="AS39" s="109">
        <f t="shared" si="40"/>
        <v>0</v>
      </c>
      <c r="AU39" s="117">
        <f t="shared" si="22"/>
        <v>1.1952593030124044</v>
      </c>
      <c r="AV39" s="109">
        <v>2.56</v>
      </c>
      <c r="AW39" s="109">
        <f t="shared" si="45"/>
        <v>4334.08</v>
      </c>
      <c r="AX39" s="109">
        <f t="shared" si="13"/>
        <v>9184.9500000000007</v>
      </c>
      <c r="AY39" s="109">
        <f t="shared" si="14"/>
        <v>4951.2529920000006</v>
      </c>
      <c r="AZ39" s="116">
        <f t="shared" si="15"/>
        <v>0</v>
      </c>
      <c r="BB39" s="117"/>
      <c r="BF39" s="109">
        <f t="shared" si="41"/>
        <v>4723.47</v>
      </c>
      <c r="BH39" s="109">
        <f t="shared" si="28"/>
        <v>1100</v>
      </c>
    </row>
    <row r="40" spans="1:64" x14ac:dyDescent="0.25">
      <c r="A40" t="s">
        <v>96</v>
      </c>
      <c r="B40" s="1">
        <v>662</v>
      </c>
      <c r="C40">
        <f t="shared" si="42"/>
        <v>662</v>
      </c>
      <c r="D40" s="1">
        <v>56.400000000000006</v>
      </c>
      <c r="E40" s="1"/>
      <c r="F40" s="23">
        <f t="shared" si="16"/>
        <v>718.4</v>
      </c>
      <c r="G40" s="26">
        <v>2.96</v>
      </c>
      <c r="H40" s="26">
        <v>3.5</v>
      </c>
      <c r="I40" s="24">
        <f t="shared" si="43"/>
        <v>1959.52</v>
      </c>
      <c r="J40" s="24">
        <f t="shared" si="44"/>
        <v>197.40000000000003</v>
      </c>
      <c r="K40" s="24">
        <f t="shared" si="3"/>
        <v>2156.92</v>
      </c>
      <c r="L40" s="1">
        <v>118</v>
      </c>
      <c r="M40" s="1">
        <v>125</v>
      </c>
      <c r="N40" s="1"/>
      <c r="O40" s="1"/>
      <c r="P40" s="25">
        <f t="shared" si="33"/>
        <v>0.33825167037861914</v>
      </c>
      <c r="Q40" s="25">
        <f t="shared" si="34"/>
        <v>0</v>
      </c>
      <c r="R40">
        <v>1500</v>
      </c>
      <c r="S40">
        <v>119</v>
      </c>
      <c r="T40">
        <v>0</v>
      </c>
      <c r="U40" s="25">
        <v>0.42961742341991593</v>
      </c>
      <c r="V40" s="25">
        <v>0.31</v>
      </c>
      <c r="W40" s="26">
        <f t="shared" si="4"/>
        <v>33.783388082339329</v>
      </c>
      <c r="X40" s="26">
        <f t="shared" si="5"/>
        <v>2.680148787865587</v>
      </c>
      <c r="Y40">
        <v>1</v>
      </c>
      <c r="Z40" s="27">
        <v>1</v>
      </c>
      <c r="AA40">
        <v>1</v>
      </c>
      <c r="AB40" s="28">
        <f t="shared" si="35"/>
        <v>820.70015999999998</v>
      </c>
      <c r="AC40" s="1">
        <f t="shared" si="36"/>
        <v>0</v>
      </c>
      <c r="AD40" s="23">
        <f t="shared" si="18"/>
        <v>820.70015999999998</v>
      </c>
      <c r="AE40" s="55">
        <f>G40*(1-U40)-(G40*V40-0.613*P40)+P40*0.613</f>
        <v>1.1854289745612359</v>
      </c>
      <c r="AF40" s="30">
        <f t="shared" si="19"/>
        <v>2156.92</v>
      </c>
      <c r="AG40" s="28">
        <f t="shared" si="7"/>
        <v>37.689592329359819</v>
      </c>
      <c r="AH40" s="28">
        <f t="shared" si="8"/>
        <v>2.9900409914625459</v>
      </c>
      <c r="AI40" s="28">
        <f t="shared" si="20"/>
        <v>118</v>
      </c>
      <c r="AJ40" s="29">
        <f t="shared" si="21"/>
        <v>125</v>
      </c>
      <c r="AK40">
        <f t="shared" si="37"/>
        <v>0</v>
      </c>
      <c r="AN40" s="109">
        <v>1.2</v>
      </c>
      <c r="AO40" s="109">
        <v>0.8</v>
      </c>
      <c r="AP40" s="116">
        <f t="shared" si="32"/>
        <v>1725.5360000000001</v>
      </c>
      <c r="AQ40" s="109">
        <f t="shared" si="38"/>
        <v>98.333333333333343</v>
      </c>
      <c r="AR40" s="109">
        <f t="shared" si="39"/>
        <v>104.16666666666667</v>
      </c>
      <c r="AS40" s="109">
        <f t="shared" si="40"/>
        <v>0</v>
      </c>
      <c r="AU40" s="117">
        <f t="shared" si="22"/>
        <v>0.94834317964898873</v>
      </c>
      <c r="AV40" s="109">
        <v>1.97</v>
      </c>
      <c r="AW40" s="109">
        <f t="shared" si="45"/>
        <v>1415.248</v>
      </c>
      <c r="AX40" s="109">
        <f t="shared" si="13"/>
        <v>3572.1680000000001</v>
      </c>
      <c r="AY40" s="109">
        <f t="shared" si="14"/>
        <v>1616.7793151999999</v>
      </c>
      <c r="AZ40" s="116">
        <f t="shared" si="15"/>
        <v>0</v>
      </c>
      <c r="BB40" s="117"/>
      <c r="BF40" s="109">
        <f t="shared" si="41"/>
        <v>2126.4639999999999</v>
      </c>
      <c r="BH40" s="109">
        <f t="shared" si="28"/>
        <v>242.99999999999997</v>
      </c>
    </row>
    <row r="41" spans="1:64" x14ac:dyDescent="0.25">
      <c r="A41" t="s">
        <v>97</v>
      </c>
      <c r="B41" s="1">
        <v>313</v>
      </c>
      <c r="C41">
        <f t="shared" si="42"/>
        <v>313</v>
      </c>
      <c r="D41" s="1">
        <v>209</v>
      </c>
      <c r="E41" s="1"/>
      <c r="F41" s="23">
        <f t="shared" si="16"/>
        <v>522</v>
      </c>
      <c r="G41" s="26">
        <v>4</v>
      </c>
      <c r="H41" s="26">
        <v>4</v>
      </c>
      <c r="I41" s="24">
        <f t="shared" si="43"/>
        <v>1252</v>
      </c>
      <c r="J41" s="24">
        <f t="shared" si="44"/>
        <v>836</v>
      </c>
      <c r="K41" s="24">
        <f t="shared" si="3"/>
        <v>2088</v>
      </c>
      <c r="L41" s="1"/>
      <c r="M41" s="1"/>
      <c r="P41" s="25">
        <f>(N41+M41+L41)/F41</f>
        <v>0</v>
      </c>
      <c r="Q41">
        <f t="shared" si="34"/>
        <v>0</v>
      </c>
      <c r="R41">
        <v>2000</v>
      </c>
      <c r="S41" s="31">
        <v>120</v>
      </c>
      <c r="T41">
        <v>2</v>
      </c>
      <c r="U41" s="25">
        <v>0.99</v>
      </c>
      <c r="V41" s="25">
        <v>0</v>
      </c>
      <c r="W41" s="26">
        <f t="shared" si="4"/>
        <v>32.730008498480196</v>
      </c>
      <c r="X41" s="26">
        <f t="shared" si="5"/>
        <v>1.9638005099088121</v>
      </c>
      <c r="Y41">
        <v>0.3</v>
      </c>
      <c r="Z41" s="27">
        <v>1</v>
      </c>
      <c r="AA41">
        <v>1</v>
      </c>
      <c r="AB41" s="28">
        <f t="shared" si="35"/>
        <v>596.33280000000002</v>
      </c>
      <c r="AC41" s="1">
        <f t="shared" si="36"/>
        <v>0</v>
      </c>
      <c r="AD41" s="23">
        <f t="shared" si="18"/>
        <v>596.33280000000002</v>
      </c>
      <c r="AE41" s="55">
        <f>G41*(1-U41)-(G41*V41-0.613*P41)+P41*0.613</f>
        <v>4.0000000000000036E-2</v>
      </c>
      <c r="AF41" s="30">
        <f t="shared" si="19"/>
        <v>2088</v>
      </c>
      <c r="AG41" s="28">
        <f t="shared" si="7"/>
        <v>36.514415731116976</v>
      </c>
      <c r="AH41" s="28">
        <f t="shared" si="8"/>
        <v>2.1908649438670187</v>
      </c>
      <c r="AI41" s="28">
        <f t="shared" si="20"/>
        <v>0</v>
      </c>
      <c r="AJ41" s="29">
        <f t="shared" si="21"/>
        <v>0</v>
      </c>
      <c r="AK41">
        <f t="shared" si="37"/>
        <v>0</v>
      </c>
      <c r="AN41" s="109">
        <v>1.2</v>
      </c>
      <c r="AO41" s="109">
        <v>1</v>
      </c>
      <c r="AP41" s="116">
        <f t="shared" si="32"/>
        <v>2088</v>
      </c>
      <c r="AQ41" s="109">
        <f t="shared" si="38"/>
        <v>0</v>
      </c>
      <c r="AR41" s="109">
        <f t="shared" si="39"/>
        <v>0</v>
      </c>
      <c r="AS41" s="109">
        <f t="shared" si="40"/>
        <v>0</v>
      </c>
      <c r="AU41" s="117">
        <f t="shared" si="22"/>
        <v>4.0000000000000036E-2</v>
      </c>
      <c r="AV41" s="109">
        <v>0</v>
      </c>
      <c r="AW41" s="109">
        <f t="shared" si="45"/>
        <v>0</v>
      </c>
      <c r="AX41" s="109">
        <f t="shared" si="13"/>
        <v>2088</v>
      </c>
      <c r="AY41" s="109">
        <f t="shared" si="14"/>
        <v>0</v>
      </c>
      <c r="AZ41" s="116">
        <f t="shared" si="15"/>
        <v>0</v>
      </c>
      <c r="BB41" s="117"/>
      <c r="BF41" s="109">
        <f t="shared" si="41"/>
        <v>2088</v>
      </c>
      <c r="BH41" s="109">
        <f t="shared" si="28"/>
        <v>0</v>
      </c>
    </row>
    <row r="42" spans="1:64" x14ac:dyDescent="0.25">
      <c r="A42" t="s">
        <v>98</v>
      </c>
      <c r="B42" s="1">
        <v>171</v>
      </c>
      <c r="C42">
        <f t="shared" si="42"/>
        <v>171</v>
      </c>
      <c r="D42" s="1"/>
      <c r="E42" s="1"/>
      <c r="F42" s="23">
        <f t="shared" si="16"/>
        <v>171</v>
      </c>
      <c r="G42" s="26">
        <v>4</v>
      </c>
      <c r="H42" s="26"/>
      <c r="I42" s="24">
        <f t="shared" si="43"/>
        <v>684</v>
      </c>
      <c r="J42" s="24">
        <f t="shared" si="44"/>
        <v>0</v>
      </c>
      <c r="K42" s="24">
        <f t="shared" si="3"/>
        <v>684</v>
      </c>
      <c r="L42" s="1"/>
      <c r="M42" s="1"/>
      <c r="N42">
        <f>K46+K46*0.46</f>
        <v>48712.330861598064</v>
      </c>
      <c r="P42" s="25">
        <v>0.34</v>
      </c>
      <c r="Q42">
        <f t="shared" si="34"/>
        <v>284.86743193916999</v>
      </c>
      <c r="R42">
        <v>2000</v>
      </c>
      <c r="S42" s="31">
        <v>120</v>
      </c>
      <c r="T42">
        <v>2</v>
      </c>
      <c r="U42" s="25">
        <v>0.43</v>
      </c>
      <c r="V42" s="25">
        <v>0.31</v>
      </c>
      <c r="W42" s="26">
        <f t="shared" si="4"/>
        <v>10.721899335709031</v>
      </c>
      <c r="X42" s="26">
        <f t="shared" si="5"/>
        <v>0.64331396014254183</v>
      </c>
      <c r="Y42">
        <v>4</v>
      </c>
      <c r="Z42" s="27">
        <v>1</v>
      </c>
      <c r="AA42">
        <v>1</v>
      </c>
      <c r="AB42" s="28">
        <f t="shared" si="35"/>
        <v>195.35040000000004</v>
      </c>
      <c r="AC42" s="1">
        <f t="shared" si="36"/>
        <v>0</v>
      </c>
      <c r="AD42" s="23">
        <f t="shared" si="18"/>
        <v>195.35040000000004</v>
      </c>
      <c r="AE42" s="55">
        <f>G42*(1-U42)-(G42*V42-0.613*P42)+P42*0.613</f>
        <v>1.4568400000000004</v>
      </c>
      <c r="AF42" s="30">
        <f t="shared" si="19"/>
        <v>684</v>
      </c>
      <c r="AG42" s="28">
        <f t="shared" si="7"/>
        <v>11.961618946400389</v>
      </c>
      <c r="AH42" s="28">
        <f t="shared" si="8"/>
        <v>0.71769713678402336</v>
      </c>
      <c r="AI42" s="28">
        <f t="shared" si="20"/>
        <v>0</v>
      </c>
      <c r="AJ42" s="29">
        <f t="shared" si="21"/>
        <v>0</v>
      </c>
      <c r="AK42">
        <v>0</v>
      </c>
      <c r="AN42" s="109">
        <v>1.2</v>
      </c>
      <c r="AO42" s="109">
        <v>0.8</v>
      </c>
      <c r="AP42" s="116">
        <f t="shared" si="32"/>
        <v>547.20000000000005</v>
      </c>
      <c r="AQ42" s="109">
        <f t="shared" si="38"/>
        <v>0</v>
      </c>
      <c r="AR42" s="109">
        <f t="shared" si="39"/>
        <v>0</v>
      </c>
      <c r="AS42" s="109">
        <f t="shared" si="40"/>
        <v>0</v>
      </c>
      <c r="AU42" s="117">
        <f t="shared" si="22"/>
        <v>1.1654720000000003</v>
      </c>
      <c r="AV42" s="109">
        <v>0.1</v>
      </c>
      <c r="AW42" s="109">
        <f t="shared" si="45"/>
        <v>17.100000000000001</v>
      </c>
      <c r="AX42" s="109">
        <f t="shared" si="13"/>
        <v>701.1</v>
      </c>
      <c r="AY42" s="109">
        <f t="shared" si="14"/>
        <v>19.535040000000006</v>
      </c>
      <c r="AZ42" s="116">
        <f t="shared" si="15"/>
        <v>0</v>
      </c>
      <c r="BB42" s="117"/>
      <c r="BF42" s="109">
        <f t="shared" si="41"/>
        <v>684</v>
      </c>
      <c r="BJ42" s="109">
        <f>F42*(P42+Q42)</f>
        <v>48770.470861598063</v>
      </c>
    </row>
    <row r="43" spans="1:64" x14ac:dyDescent="0.25">
      <c r="A43" s="1" t="s">
        <v>99</v>
      </c>
      <c r="B43" s="1">
        <v>50</v>
      </c>
      <c r="C43">
        <f t="shared" si="42"/>
        <v>50</v>
      </c>
      <c r="D43" s="1">
        <v>50</v>
      </c>
      <c r="E43" s="1"/>
      <c r="F43" s="23">
        <f t="shared" si="16"/>
        <v>100</v>
      </c>
      <c r="G43" s="26">
        <v>3</v>
      </c>
      <c r="H43" s="1"/>
      <c r="I43" s="24">
        <f t="shared" si="43"/>
        <v>150</v>
      </c>
      <c r="J43" s="24">
        <f t="shared" si="44"/>
        <v>0</v>
      </c>
      <c r="K43" s="24">
        <f t="shared" si="3"/>
        <v>150</v>
      </c>
      <c r="L43" s="1"/>
      <c r="M43" s="1"/>
      <c r="N43">
        <f>K47+K47*0.46</f>
        <v>87774.878800000006</v>
      </c>
      <c r="W43" s="26">
        <f t="shared" si="4"/>
        <v>0</v>
      </c>
      <c r="X43" s="26">
        <f t="shared" si="5"/>
        <v>0</v>
      </c>
      <c r="Z43" s="27">
        <v>1</v>
      </c>
      <c r="AC43" s="1"/>
      <c r="AD43" s="23">
        <f>(AB43+AC43)*SCENARIOPOP/62.5</f>
        <v>0</v>
      </c>
      <c r="AF43" s="4"/>
      <c r="AG43" s="28">
        <f>AD43*R43/1000000</f>
        <v>0</v>
      </c>
      <c r="AI43" s="28">
        <f>AB43*P43</f>
        <v>0</v>
      </c>
      <c r="AJ43" s="29">
        <f t="shared" ref="AJ43:AJ44" si="46">AC43*P43</f>
        <v>0</v>
      </c>
      <c r="AW43" s="109">
        <f t="shared" si="45"/>
        <v>0</v>
      </c>
      <c r="AX43" s="109">
        <f t="shared" si="13"/>
        <v>150</v>
      </c>
      <c r="AY43" s="109">
        <f t="shared" si="14"/>
        <v>0</v>
      </c>
      <c r="AZ43" s="116">
        <f t="shared" si="15"/>
        <v>0</v>
      </c>
      <c r="BB43" s="117"/>
      <c r="BF43" s="109">
        <f t="shared" si="41"/>
        <v>300</v>
      </c>
    </row>
    <row r="44" spans="1:64" x14ac:dyDescent="0.25">
      <c r="A44" s="1" t="s">
        <v>100</v>
      </c>
      <c r="D44" s="1"/>
      <c r="E44" s="1"/>
      <c r="F44" s="23">
        <f t="shared" si="16"/>
        <v>0</v>
      </c>
      <c r="H44" s="26"/>
      <c r="I44" s="2">
        <f>C44*H44</f>
        <v>0</v>
      </c>
      <c r="J44" s="24">
        <f>D44*H44</f>
        <v>0</v>
      </c>
      <c r="K44" s="24">
        <f t="shared" si="3"/>
        <v>0</v>
      </c>
      <c r="L44" s="1"/>
      <c r="M44" s="1"/>
      <c r="N44">
        <f>SUM(N42:N43)</f>
        <v>136487.20966159808</v>
      </c>
      <c r="R44">
        <f>604/2000</f>
        <v>0.30199999999999999</v>
      </c>
      <c r="W44" s="26">
        <f>(R44*AZ44)/62.5/365</f>
        <v>0</v>
      </c>
      <c r="X44" s="26">
        <f t="shared" si="5"/>
        <v>0</v>
      </c>
      <c r="Z44" s="27">
        <v>1</v>
      </c>
      <c r="AC44" s="1"/>
      <c r="AD44" s="23">
        <f>(AB44+AC44)*SCENARIOPOP/62.5</f>
        <v>0</v>
      </c>
      <c r="AF44" s="4"/>
      <c r="AG44" s="28">
        <f>AD44*R44/1000000</f>
        <v>0</v>
      </c>
      <c r="AI44" s="28">
        <f>AB44*P44</f>
        <v>0</v>
      </c>
      <c r="AJ44" s="29">
        <f t="shared" si="46"/>
        <v>0</v>
      </c>
      <c r="AL44" s="28">
        <f>SUM(AI35:AI42)</f>
        <v>1488</v>
      </c>
      <c r="AM44" s="28"/>
      <c r="AX44" s="109">
        <f t="shared" si="13"/>
        <v>0</v>
      </c>
      <c r="AZ44" s="116"/>
      <c r="BB44" s="117"/>
      <c r="BF44" s="109">
        <f t="shared" si="25"/>
        <v>0</v>
      </c>
    </row>
    <row r="45" spans="1:64" x14ac:dyDescent="0.25">
      <c r="D45" s="1"/>
      <c r="E45" s="1"/>
      <c r="F45" s="1"/>
      <c r="H45" s="1"/>
      <c r="I45" s="2"/>
      <c r="J45" s="2"/>
      <c r="K45" s="2"/>
      <c r="L45" s="1"/>
      <c r="M45" s="1"/>
      <c r="W45" s="26"/>
      <c r="X45" s="1"/>
      <c r="Z45" s="3"/>
      <c r="AC45" s="1"/>
      <c r="AD45" s="1"/>
      <c r="AF45" s="4"/>
      <c r="AJ45" s="1"/>
    </row>
    <row r="46" spans="1:64" s="83" customFormat="1" ht="37.5" x14ac:dyDescent="0.3">
      <c r="A46" s="74" t="s">
        <v>101</v>
      </c>
      <c r="B46" s="75">
        <f>SUM(B11:B23)</f>
        <v>43167</v>
      </c>
      <c r="C46" s="75">
        <f>SUM(C11:C32)</f>
        <v>27053.58</v>
      </c>
      <c r="D46" s="75">
        <f>SUM(D11:D32)</f>
        <v>28794.009098246388</v>
      </c>
      <c r="E46" s="75">
        <f>SUM(E11:E32)</f>
        <v>17784.52</v>
      </c>
      <c r="F46" s="75">
        <f>SUM(F11:F31)</f>
        <v>51713.889098246393</v>
      </c>
      <c r="G46" s="75"/>
      <c r="H46" s="75"/>
      <c r="I46" s="76">
        <f>SUM(I11:I23)</f>
        <v>11275.288000000002</v>
      </c>
      <c r="J46" s="76">
        <f>SUM(J11:J32)</f>
        <v>22089.322179176757</v>
      </c>
      <c r="K46" s="76">
        <f>SUM(K11:K32)</f>
        <v>33364.610179176758</v>
      </c>
      <c r="L46" s="75">
        <f>SUM(L11:L31)</f>
        <v>4773</v>
      </c>
      <c r="M46" s="77">
        <f>SUM(M11:M31)</f>
        <v>2986.3599999999997</v>
      </c>
      <c r="N46" s="75"/>
      <c r="O46" s="75"/>
      <c r="P46" s="75"/>
      <c r="Q46" s="75"/>
      <c r="R46" s="75"/>
      <c r="S46" s="75"/>
      <c r="T46" s="78" t="s">
        <v>102</v>
      </c>
      <c r="U46" s="75"/>
      <c r="V46" s="75"/>
      <c r="W46" s="75">
        <f>SUM(W11:W32)</f>
        <v>4380.9309093659431</v>
      </c>
      <c r="X46" s="82">
        <f>SUM(X11:X32)</f>
        <v>40.178627676020135</v>
      </c>
      <c r="Y46" s="75"/>
      <c r="Z46" s="79"/>
      <c r="AA46" s="75"/>
      <c r="AB46" s="75">
        <f>SUM(AB11:AB31)</f>
        <v>44462.828889836674</v>
      </c>
      <c r="AC46" s="75">
        <f>SUM(AC11:AC31)</f>
        <v>14363.212416</v>
      </c>
      <c r="AD46" s="75">
        <f>SUM(AD11:AD31)</f>
        <v>58826.041305836683</v>
      </c>
      <c r="AE46" s="80">
        <f>AF46/AD46</f>
        <v>0.5603744438248649</v>
      </c>
      <c r="AF46" s="81">
        <f>SUM(AF11:AF31)</f>
        <v>32964.610179176758</v>
      </c>
      <c r="AG46" s="81">
        <f>SUM(AG11:AG31)</f>
        <v>4864.339168660048</v>
      </c>
      <c r="AH46" s="80">
        <f>SUM(AH11:AH31)</f>
        <v>44.284421035362165</v>
      </c>
      <c r="AI46" s="82">
        <f>SUM(AI11:AI31)</f>
        <v>4773</v>
      </c>
      <c r="AJ46" s="82">
        <f>SUM(AJ11:AJ31)</f>
        <v>2986.3599999999997</v>
      </c>
      <c r="AK46" s="82"/>
      <c r="AL46" s="82"/>
      <c r="AM46" s="82"/>
      <c r="AN46" s="118"/>
      <c r="AO46" s="119">
        <f>AP46/AD46</f>
        <v>0.33622466629491882</v>
      </c>
      <c r="AP46" s="120">
        <f>SUM(AP11:AP31)</f>
        <v>19778.76610750605</v>
      </c>
      <c r="AQ46" s="118">
        <f>SUM(AQ11:AQ31)</f>
        <v>3667.7465866536804</v>
      </c>
      <c r="AR46" s="118">
        <f>SUM(AR11:AR31)</f>
        <v>2485.9381210478768</v>
      </c>
      <c r="AS46" s="118">
        <f>SUM(AS11:AS31)</f>
        <v>0</v>
      </c>
      <c r="AT46" s="121"/>
      <c r="AU46" s="121"/>
      <c r="AV46" s="120"/>
      <c r="AW46" s="120">
        <f>SUM(AW11:AW32)</f>
        <v>13674.803630170958</v>
      </c>
      <c r="AX46" s="120">
        <f>SUM(AX11:AX32)</f>
        <v>47039.413809347709</v>
      </c>
      <c r="AY46" s="120">
        <f>SUM(AY11:AY32)</f>
        <v>15478.509475107305</v>
      </c>
      <c r="AZ46" s="120">
        <f>SUM(AZ11:AZ32)</f>
        <v>3203.7671232000007</v>
      </c>
      <c r="BA46" s="121"/>
      <c r="BB46" s="121"/>
      <c r="BC46" s="121"/>
      <c r="BD46" s="121"/>
      <c r="BE46" s="121"/>
      <c r="BF46" s="121">
        <f>SUM(BF11:BF45)</f>
        <v>83009.205964707624</v>
      </c>
      <c r="BG46" s="121"/>
      <c r="BH46" s="121"/>
      <c r="BI46" s="121"/>
      <c r="BJ46" s="121"/>
      <c r="BK46" s="121"/>
      <c r="BL46" s="121"/>
    </row>
    <row r="47" spans="1:64" s="83" customFormat="1" ht="37.5" x14ac:dyDescent="0.3">
      <c r="A47" s="84" t="s">
        <v>103</v>
      </c>
      <c r="B47" s="85">
        <f>SUM(B35:B45)</f>
        <v>6471</v>
      </c>
      <c r="C47" s="85">
        <f>SUM(C35:C45)</f>
        <v>6471</v>
      </c>
      <c r="D47" s="85">
        <f>SUM(D35:D44)</f>
        <v>1939.4</v>
      </c>
      <c r="E47" s="85">
        <f>SUM(E35:E44)</f>
        <v>0</v>
      </c>
      <c r="F47" s="85">
        <f>SUM(F35:F44)</f>
        <v>8410.4</v>
      </c>
      <c r="G47" s="85"/>
      <c r="H47" s="85"/>
      <c r="I47" s="86">
        <f>SUM(I35:I44)</f>
        <v>45524.88</v>
      </c>
      <c r="J47" s="86">
        <f>SUM(J35:J44)</f>
        <v>14594.9</v>
      </c>
      <c r="K47" s="86">
        <f>SUM(K35:K43)</f>
        <v>60119.78</v>
      </c>
      <c r="L47" s="85">
        <f>SUM(L35:L40)</f>
        <v>1488</v>
      </c>
      <c r="M47" s="85">
        <f>SUM(M35:M40)</f>
        <v>1730</v>
      </c>
      <c r="N47" s="85">
        <f>SUM(N35:N40)</f>
        <v>11227</v>
      </c>
      <c r="O47" s="87">
        <f>SUM(O35:O40)</f>
        <v>1045.4395604395604</v>
      </c>
      <c r="P47" s="85"/>
      <c r="Q47" s="85"/>
      <c r="R47" s="85"/>
      <c r="S47" s="85"/>
      <c r="T47" s="85"/>
      <c r="U47" s="85"/>
      <c r="V47" s="85"/>
      <c r="W47" s="87">
        <f>SUM(W35:W44)</f>
        <v>431.26175278347074</v>
      </c>
      <c r="X47" s="90">
        <f>SUM(X35:X42)</f>
        <v>47.46872007257322</v>
      </c>
      <c r="Y47" s="85"/>
      <c r="Z47" s="89"/>
      <c r="AA47" s="85"/>
      <c r="AB47" s="85">
        <f>SUM(AB35:AB42)</f>
        <v>9493.8009599999987</v>
      </c>
      <c r="AC47" s="85">
        <f>SUM(AC35:AC42)</f>
        <v>0</v>
      </c>
      <c r="AD47" s="85">
        <f>SUM(AD35:AD42)</f>
        <v>9493.8009599999987</v>
      </c>
      <c r="AE47" s="88">
        <f>AF47/AD47</f>
        <v>6.3167302803870884</v>
      </c>
      <c r="AF47" s="85">
        <f>SUM(AF35:AF42)</f>
        <v>59969.78</v>
      </c>
      <c r="AG47" s="85">
        <f>SUM(AG35:AG42)</f>
        <v>481.12639294905961</v>
      </c>
      <c r="AH47" s="85">
        <f>SUM(AH35:AH42)</f>
        <v>52.957290830964496</v>
      </c>
      <c r="AI47" s="90">
        <f>SUM(AI35:AI42)</f>
        <v>1488</v>
      </c>
      <c r="AJ47" s="90">
        <v>0</v>
      </c>
      <c r="AK47" s="85">
        <f>SUM(AK35:AK42)</f>
        <v>14020.034953846154</v>
      </c>
      <c r="AL47" s="85"/>
      <c r="AM47" s="85"/>
      <c r="AN47" s="121"/>
      <c r="AO47" s="119">
        <f>AP47/AD47</f>
        <v>4.188912129878906</v>
      </c>
      <c r="AP47" s="120">
        <f>SUM(AP35:AP42)</f>
        <v>39768.697999999997</v>
      </c>
      <c r="AQ47" s="121">
        <f>SUM(AQ35:AQ42)</f>
        <v>1240</v>
      </c>
      <c r="AR47" s="121">
        <f>SUM(AR35:AR42)</f>
        <v>1441.6666666666667</v>
      </c>
      <c r="AS47" s="121">
        <f>SUM(AS35:AS42)</f>
        <v>11683.362461538463</v>
      </c>
      <c r="AT47" s="121"/>
      <c r="AU47" s="121"/>
      <c r="AV47" s="121"/>
      <c r="AW47" s="121">
        <f>SUM(AW35:AW43)</f>
        <v>102631.07800000001</v>
      </c>
      <c r="AX47" s="121">
        <f>SUM(AX35:AX43)</f>
        <v>162750.85800000004</v>
      </c>
      <c r="AY47" s="121">
        <f>SUM(AY35:AY43)</f>
        <v>117245.74350719999</v>
      </c>
      <c r="AZ47" s="121">
        <f>SUM(AZ35:AZ43)</f>
        <v>0</v>
      </c>
      <c r="BA47" s="121"/>
      <c r="BB47" s="121"/>
      <c r="BC47" s="121"/>
      <c r="BD47" s="121"/>
      <c r="BE47" s="121"/>
      <c r="BF47" s="121"/>
      <c r="BG47" s="121"/>
      <c r="BH47" s="121"/>
      <c r="BI47" s="121"/>
      <c r="BJ47" s="121"/>
      <c r="BK47" s="121"/>
      <c r="BL47" s="121"/>
    </row>
    <row r="48" spans="1:64" s="99" customFormat="1" ht="36" customHeight="1" x14ac:dyDescent="0.4">
      <c r="A48" s="91" t="s">
        <v>104</v>
      </c>
      <c r="B48" s="100">
        <f>SUM(B46:B47)</f>
        <v>49638</v>
      </c>
      <c r="C48" s="101">
        <f>SUM(C46:C47)</f>
        <v>33524.58</v>
      </c>
      <c r="D48" s="101">
        <f>SUM(D46:D47)</f>
        <v>30733.409098246389</v>
      </c>
      <c r="E48" s="101">
        <f>SUM(E46:E47)</f>
        <v>17784.52</v>
      </c>
      <c r="F48" s="101">
        <f>SUM(F46:F47)</f>
        <v>60124.289098246394</v>
      </c>
      <c r="G48" s="91"/>
      <c r="H48" s="91"/>
      <c r="I48" s="102">
        <f>SUM(I46:I47)</f>
        <v>56800.167999999998</v>
      </c>
      <c r="J48" s="102">
        <f>SUM(J46:J47)</f>
        <v>36684.222179176759</v>
      </c>
      <c r="K48" s="93">
        <f>SUM(K46:K47)</f>
        <v>93484.390179176757</v>
      </c>
      <c r="L48" s="94">
        <f>L46-L47</f>
        <v>3285</v>
      </c>
      <c r="M48" s="94">
        <f>M46+M47</f>
        <v>4716.3599999999997</v>
      </c>
      <c r="N48" s="94">
        <f>SUM(N46:N47)</f>
        <v>11227</v>
      </c>
      <c r="O48" s="94">
        <f>SUM(O46:O47)</f>
        <v>1045.4395604395604</v>
      </c>
      <c r="P48" s="92"/>
      <c r="Q48" s="92"/>
      <c r="R48" s="91"/>
      <c r="S48" s="91"/>
      <c r="T48" s="95"/>
      <c r="U48" s="91"/>
      <c r="V48" s="91"/>
      <c r="W48" s="92">
        <f>SUM(W46:W47)</f>
        <v>4812.192662149414</v>
      </c>
      <c r="X48" s="92">
        <f>SUM(X46:X47)</f>
        <v>87.647347748593347</v>
      </c>
      <c r="Y48" s="91"/>
      <c r="Z48" s="96"/>
      <c r="AA48" s="91"/>
      <c r="AB48" s="92">
        <f>SUM(AB46:AB47)</f>
        <v>53956.629849836674</v>
      </c>
      <c r="AC48" s="92">
        <f>SUM(AC46:AC47)</f>
        <v>14363.212416</v>
      </c>
      <c r="AD48" s="92">
        <f>SUM(AD46:AD47)</f>
        <v>68319.842265836676</v>
      </c>
      <c r="AE48" s="97">
        <f>AF48/AD48</f>
        <v>1.3602840272605339</v>
      </c>
      <c r="AF48" s="98">
        <f>SUM(AF46:AF47)</f>
        <v>92934.390179176757</v>
      </c>
      <c r="AG48" s="91">
        <f>SUM(AG46:AG47)</f>
        <v>5345.4655616091077</v>
      </c>
      <c r="AH48" s="91">
        <f>SUM(AH46:AH47)</f>
        <v>97.241711866326654</v>
      </c>
      <c r="AI48" s="92">
        <f>AI46+AI47</f>
        <v>6261</v>
      </c>
      <c r="AJ48" s="91">
        <f t="shared" ref="AJ48:AS48" si="47">SUM(AJ46:AJ47)</f>
        <v>2986.3599999999997</v>
      </c>
      <c r="AK48" s="91">
        <f t="shared" si="47"/>
        <v>14020.034953846154</v>
      </c>
      <c r="AL48" s="91"/>
      <c r="AM48" s="91"/>
      <c r="AN48" s="122"/>
      <c r="AO48" s="123">
        <f>AP48/AD48</f>
        <v>0.87159838390438948</v>
      </c>
      <c r="AP48" s="124">
        <f t="shared" si="47"/>
        <v>59547.46410750605</v>
      </c>
      <c r="AQ48" s="122">
        <f t="shared" si="47"/>
        <v>4907.7465866536804</v>
      </c>
      <c r="AR48" s="122">
        <f t="shared" si="47"/>
        <v>3927.6047877145438</v>
      </c>
      <c r="AS48" s="122">
        <f t="shared" si="47"/>
        <v>11683.362461538463</v>
      </c>
      <c r="AT48" s="122"/>
      <c r="AU48" s="122"/>
      <c r="AV48" s="124"/>
      <c r="AW48" s="124">
        <f>SUM(AW46:AW47)</f>
        <v>116305.88163017097</v>
      </c>
      <c r="AX48" s="124">
        <f>SUM(AX46:AX47)</f>
        <v>209790.27180934773</v>
      </c>
      <c r="AY48" s="124">
        <f>SUM(AY46:AY47)</f>
        <v>132724.25298230728</v>
      </c>
      <c r="AZ48" s="124">
        <f>SUM(AZ46:AZ47)</f>
        <v>3203.7671232000007</v>
      </c>
      <c r="BA48" s="124"/>
      <c r="BB48" s="124"/>
      <c r="BC48" s="122"/>
      <c r="BD48" s="122"/>
      <c r="BE48" s="122"/>
      <c r="BF48" s="122"/>
      <c r="BG48" s="122"/>
      <c r="BH48" s="122"/>
      <c r="BI48" s="122"/>
      <c r="BJ48" s="122"/>
      <c r="BK48" s="122"/>
      <c r="BL48" s="122"/>
    </row>
    <row r="49" spans="2:54" x14ac:dyDescent="0.25">
      <c r="D49" s="1"/>
      <c r="E49" s="1"/>
      <c r="F49" s="32"/>
      <c r="H49" s="1"/>
      <c r="I49" s="2"/>
      <c r="J49" s="2"/>
      <c r="K49" s="2"/>
      <c r="L49" s="33" t="s">
        <v>105</v>
      </c>
      <c r="M49" s="33" t="s">
        <v>60</v>
      </c>
      <c r="N49" s="34" t="s">
        <v>106</v>
      </c>
      <c r="O49" s="34" t="s">
        <v>107</v>
      </c>
      <c r="Q49" s="34"/>
      <c r="W49" s="1" t="s">
        <v>16</v>
      </c>
      <c r="X49" s="1" t="s">
        <v>13</v>
      </c>
      <c r="Z49" s="3"/>
      <c r="AB49" t="s">
        <v>108</v>
      </c>
      <c r="AC49" s="1" t="s">
        <v>14</v>
      </c>
      <c r="AD49" s="1"/>
      <c r="AE49" t="s">
        <v>510</v>
      </c>
      <c r="AF49" s="4" t="s">
        <v>109</v>
      </c>
      <c r="AG49" t="s">
        <v>16</v>
      </c>
      <c r="AH49" t="s">
        <v>13</v>
      </c>
      <c r="AI49" t="s">
        <v>17</v>
      </c>
      <c r="AJ49" s="1" t="s">
        <v>17</v>
      </c>
      <c r="AK49" t="s">
        <v>61</v>
      </c>
      <c r="AO49" s="109" t="s">
        <v>510</v>
      </c>
      <c r="AP49" s="109" t="s">
        <v>109</v>
      </c>
      <c r="AW49" s="109" t="s">
        <v>110</v>
      </c>
      <c r="AX49" s="109" t="s">
        <v>111</v>
      </c>
      <c r="AZ49" s="109" t="s">
        <v>112</v>
      </c>
      <c r="BB49" s="117"/>
    </row>
    <row r="50" spans="2:54" x14ac:dyDescent="0.25">
      <c r="D50" s="1"/>
      <c r="E50" s="1"/>
      <c r="F50" s="1">
        <f>K47/F47</f>
        <v>7.1482664320365261</v>
      </c>
      <c r="H50" s="1"/>
      <c r="I50" s="2"/>
      <c r="J50" s="2"/>
      <c r="K50" s="2"/>
      <c r="L50" s="32">
        <f>L46-L47</f>
        <v>3285</v>
      </c>
      <c r="M50" s="35">
        <f>M46-M47</f>
        <v>1256.3599999999997</v>
      </c>
      <c r="N50" s="1"/>
      <c r="W50" s="36">
        <f>W47/W48</f>
        <v>8.9618555004163811E-2</v>
      </c>
      <c r="X50" s="36">
        <f>X47/X48</f>
        <v>0.54158763832457268</v>
      </c>
      <c r="Z50" s="3"/>
      <c r="AB50" t="s">
        <v>113</v>
      </c>
      <c r="AC50" s="1">
        <f>AB48+AC48</f>
        <v>68319.842265836676</v>
      </c>
      <c r="AD50" s="1">
        <f>AD47/AD48</f>
        <v>0.1389611077124423</v>
      </c>
      <c r="AF50" s="4"/>
      <c r="AI50" t="s">
        <v>108</v>
      </c>
      <c r="AJ50" s="1" t="s">
        <v>14</v>
      </c>
      <c r="AK50" t="s">
        <v>114</v>
      </c>
      <c r="AQ50" s="109" t="s">
        <v>115</v>
      </c>
      <c r="AS50" s="109" t="s">
        <v>116</v>
      </c>
      <c r="AY50" s="109" t="s">
        <v>69</v>
      </c>
      <c r="BB50" s="125"/>
    </row>
    <row r="51" spans="2:54" ht="15.75" x14ac:dyDescent="0.25">
      <c r="C51" t="s">
        <v>117</v>
      </c>
      <c r="D51" s="1" t="s">
        <v>118</v>
      </c>
      <c r="E51" s="1"/>
      <c r="F51" s="1">
        <f>K46/F46</f>
        <v>0.64517696814081127</v>
      </c>
      <c r="H51" s="1"/>
      <c r="I51" s="2"/>
      <c r="J51" s="38" t="s">
        <v>119</v>
      </c>
      <c r="K51" s="2"/>
      <c r="L51" s="1" t="s">
        <v>120</v>
      </c>
      <c r="M51" s="1"/>
      <c r="T51" s="37" t="s">
        <v>121</v>
      </c>
      <c r="U51" s="23">
        <f>F11+F12+F13+F14+F17+F26+F28</f>
        <v>18147.047619047618</v>
      </c>
      <c r="W51" s="37" t="s">
        <v>122</v>
      </c>
      <c r="X51" s="1" t="s">
        <v>123</v>
      </c>
      <c r="Z51" s="3"/>
      <c r="AA51" s="1"/>
      <c r="AC51" s="1"/>
      <c r="AD51" s="1"/>
      <c r="AF51" s="4"/>
      <c r="AI51" s="28">
        <f>AI46+AJ46</f>
        <v>7759.36</v>
      </c>
      <c r="AJ51" s="1"/>
      <c r="AL51" s="57">
        <f>14000-(AK48)</f>
        <v>-20.034953846154167</v>
      </c>
      <c r="AM51" s="57"/>
      <c r="AP51" s="111"/>
      <c r="AQ51" s="111"/>
      <c r="AT51" s="126">
        <f>16000-(AQ48+AS48)</f>
        <v>-591.10904819214193</v>
      </c>
    </row>
    <row r="52" spans="2:54" x14ac:dyDescent="0.25">
      <c r="B52" t="s">
        <v>124</v>
      </c>
      <c r="C52">
        <v>42950</v>
      </c>
      <c r="D52" s="1">
        <v>28294</v>
      </c>
      <c r="E52" s="1"/>
      <c r="F52" s="1"/>
      <c r="H52" s="1"/>
      <c r="I52" s="2"/>
      <c r="J52" s="2" t="s">
        <v>125</v>
      </c>
      <c r="K52" s="39">
        <v>32717</v>
      </c>
      <c r="L52" s="23">
        <f>L48+N48</f>
        <v>14512</v>
      </c>
      <c r="M52" s="23">
        <f>M48+O48</f>
        <v>5761.7995604395601</v>
      </c>
      <c r="N52" s="31">
        <f>L52+M52</f>
        <v>20273.799560439562</v>
      </c>
      <c r="T52" s="37" t="s">
        <v>126</v>
      </c>
      <c r="U52" s="23">
        <f>F15+F16+F25+F27+F30+F31</f>
        <v>16874.661818181819</v>
      </c>
      <c r="W52" s="1" t="s">
        <v>127</v>
      </c>
      <c r="X52" s="1"/>
      <c r="Z52" s="3"/>
      <c r="AC52" s="1"/>
      <c r="AD52" s="1"/>
      <c r="AF52" s="4"/>
      <c r="AJ52" s="1"/>
      <c r="AX52" s="109" t="s">
        <v>124</v>
      </c>
    </row>
    <row r="53" spans="2:54" x14ac:dyDescent="0.25">
      <c r="B53" t="s">
        <v>128</v>
      </c>
      <c r="C53">
        <v>6100</v>
      </c>
      <c r="D53" s="1">
        <v>1889</v>
      </c>
      <c r="E53" s="1"/>
      <c r="F53" s="1"/>
      <c r="H53" s="1"/>
      <c r="I53" s="24"/>
      <c r="J53" s="2" t="s">
        <v>129</v>
      </c>
      <c r="K53" s="39">
        <v>47977</v>
      </c>
      <c r="L53" s="1" t="s">
        <v>130</v>
      </c>
      <c r="M53" s="1" t="s">
        <v>131</v>
      </c>
      <c r="N53" t="s">
        <v>113</v>
      </c>
      <c r="T53" s="37" t="s">
        <v>132</v>
      </c>
      <c r="U53" s="23" t="e">
        <f>F18+F19+F29+#REF!+F35+F36+F37+F38+++F39+F40+F41+F42+F43</f>
        <v>#REF!</v>
      </c>
      <c r="W53" s="1"/>
      <c r="X53" s="1"/>
      <c r="Z53" s="3"/>
      <c r="AB53" t="s">
        <v>133</v>
      </c>
      <c r="AC53" s="1" t="s">
        <v>5</v>
      </c>
      <c r="AD53" s="1"/>
      <c r="AF53" s="4"/>
      <c r="AJ53" s="1"/>
      <c r="AW53" s="116"/>
      <c r="AX53" s="116" t="s">
        <v>128</v>
      </c>
    </row>
    <row r="54" spans="2:54" x14ac:dyDescent="0.25">
      <c r="D54" s="1"/>
      <c r="E54" s="1"/>
      <c r="F54" s="1"/>
      <c r="H54" s="1"/>
      <c r="I54" s="24"/>
      <c r="J54" s="2" t="s">
        <v>113</v>
      </c>
      <c r="K54" s="39">
        <f>K53+K52</f>
        <v>80694</v>
      </c>
      <c r="L54" s="1"/>
      <c r="M54" s="1"/>
      <c r="N54" s="1" t="s">
        <v>106</v>
      </c>
      <c r="O54" t="s">
        <v>105</v>
      </c>
      <c r="P54" t="s">
        <v>60</v>
      </c>
      <c r="Q54" t="s">
        <v>107</v>
      </c>
      <c r="T54" s="37" t="s">
        <v>134</v>
      </c>
      <c r="U54" s="23">
        <f>F20+F21+F22</f>
        <v>15598.77966101695</v>
      </c>
      <c r="W54" s="1"/>
      <c r="X54" s="1"/>
      <c r="Z54" s="3"/>
      <c r="AA54" s="1" t="s">
        <v>124</v>
      </c>
      <c r="AB54">
        <v>66471</v>
      </c>
      <c r="AC54" s="1">
        <v>15337</v>
      </c>
      <c r="AD54" s="1"/>
      <c r="AF54" s="4"/>
      <c r="AJ54" s="1"/>
      <c r="BB54" s="125"/>
    </row>
    <row r="55" spans="2:54" x14ac:dyDescent="0.25">
      <c r="B55" t="s">
        <v>135</v>
      </c>
      <c r="C55" s="1">
        <f>SUM(C52:D53)</f>
        <v>79233</v>
      </c>
      <c r="D55" s="1"/>
      <c r="E55" s="1"/>
      <c r="F55" s="1"/>
      <c r="H55" s="1"/>
      <c r="I55" s="24"/>
      <c r="J55" s="2"/>
      <c r="K55" s="2"/>
      <c r="L55" s="1"/>
      <c r="M55" s="1" t="s">
        <v>124</v>
      </c>
      <c r="N55" s="1"/>
      <c r="O55">
        <v>3328</v>
      </c>
      <c r="P55">
        <v>1096</v>
      </c>
      <c r="R55">
        <f>SUM(N55:Q55)</f>
        <v>4424</v>
      </c>
      <c r="T55" s="17"/>
      <c r="W55" s="1"/>
      <c r="X55" s="1"/>
      <c r="Z55" s="3"/>
      <c r="AA55" s="1" t="s">
        <v>128</v>
      </c>
      <c r="AB55">
        <v>3939</v>
      </c>
      <c r="AC55" s="1">
        <v>11287</v>
      </c>
      <c r="AD55" s="1"/>
      <c r="AF55" s="4"/>
      <c r="AI55" s="1"/>
      <c r="AL55" s="1"/>
      <c r="AM55" s="1"/>
    </row>
    <row r="56" spans="2:54" x14ac:dyDescent="0.25">
      <c r="D56" s="1"/>
      <c r="E56" s="1"/>
      <c r="F56" s="1"/>
      <c r="H56" s="1"/>
      <c r="I56" s="2"/>
      <c r="J56" s="2"/>
      <c r="K56" s="2"/>
      <c r="L56" s="1"/>
      <c r="M56" s="1" t="s">
        <v>128</v>
      </c>
      <c r="N56" s="1">
        <v>11227</v>
      </c>
      <c r="O56">
        <v>1488</v>
      </c>
      <c r="P56">
        <v>1730</v>
      </c>
      <c r="Q56">
        <v>620</v>
      </c>
      <c r="R56">
        <f>SUM(N56:Q56)</f>
        <v>15065</v>
      </c>
      <c r="W56" s="1"/>
      <c r="X56" s="1"/>
      <c r="Z56" s="3"/>
      <c r="AA56" s="1"/>
      <c r="AC56" s="1"/>
      <c r="AD56" s="1"/>
      <c r="AE56" s="4"/>
      <c r="AI56" s="1"/>
      <c r="AL56" s="1"/>
      <c r="AM56" s="1"/>
    </row>
    <row r="57" spans="2:54" x14ac:dyDescent="0.25">
      <c r="D57" s="1"/>
      <c r="E57" s="1"/>
      <c r="F57" s="1"/>
      <c r="H57" s="1"/>
      <c r="I57" s="2"/>
      <c r="J57" s="2"/>
      <c r="K57" s="2"/>
      <c r="L57" s="1"/>
      <c r="M57" s="1"/>
      <c r="R57">
        <f>SUM(R55:R56)</f>
        <v>19489</v>
      </c>
      <c r="W57" s="1"/>
      <c r="X57" s="1"/>
      <c r="Z57" s="3"/>
      <c r="AA57" s="1"/>
      <c r="AB57">
        <f>26624</f>
        <v>26624</v>
      </c>
      <c r="AC57" s="1">
        <v>70067</v>
      </c>
      <c r="AD57" s="1"/>
      <c r="AE57" s="40"/>
      <c r="AH57">
        <v>84</v>
      </c>
      <c r="AI57" s="1">
        <v>3987</v>
      </c>
      <c r="AJ57">
        <v>8651</v>
      </c>
      <c r="AL57" s="1"/>
      <c r="AM57" s="1"/>
    </row>
    <row r="58" spans="2:54" x14ac:dyDescent="0.25">
      <c r="D58" s="1"/>
      <c r="E58" s="1"/>
      <c r="F58" s="1"/>
      <c r="H58" s="1"/>
      <c r="I58" s="2"/>
      <c r="J58" s="2"/>
      <c r="K58" s="2"/>
      <c r="L58" s="1"/>
      <c r="M58" s="1"/>
      <c r="R58">
        <f>R55/R57</f>
        <v>0.22699984606701215</v>
      </c>
      <c r="W58" s="1"/>
      <c r="X58" s="1"/>
      <c r="Z58" s="3"/>
      <c r="AA58" s="1" t="s">
        <v>136</v>
      </c>
      <c r="AC58" s="1">
        <f>70000</f>
        <v>70000</v>
      </c>
      <c r="AD58" s="1"/>
      <c r="AE58" s="4"/>
      <c r="AH58">
        <v>60</v>
      </c>
      <c r="AI58" s="1">
        <v>2500</v>
      </c>
      <c r="AJ58">
        <v>8000</v>
      </c>
      <c r="AL58" s="1"/>
      <c r="AM58" s="1"/>
    </row>
    <row r="59" spans="2:54" x14ac:dyDescent="0.25">
      <c r="D59" s="1"/>
      <c r="E59" s="1"/>
      <c r="F59" s="1"/>
      <c r="H59" s="1"/>
      <c r="I59" s="2"/>
      <c r="J59" s="2"/>
      <c r="K59" s="2"/>
      <c r="L59" s="1"/>
      <c r="M59" s="1"/>
      <c r="W59" s="1"/>
      <c r="X59" s="1"/>
      <c r="Z59" s="3"/>
      <c r="AB59" t="s">
        <v>5</v>
      </c>
      <c r="AC59" s="1" t="s">
        <v>18</v>
      </c>
      <c r="AD59" s="1"/>
      <c r="AE59" s="4"/>
      <c r="AH59" t="s">
        <v>13</v>
      </c>
      <c r="AI59" s="1" t="s">
        <v>16</v>
      </c>
      <c r="AJ59" t="s">
        <v>133</v>
      </c>
    </row>
    <row r="60" spans="2:54" x14ac:dyDescent="0.25">
      <c r="D60" s="1"/>
      <c r="E60" s="1"/>
      <c r="F60" s="1"/>
      <c r="H60" s="1"/>
      <c r="I60" s="2"/>
      <c r="J60" s="2"/>
      <c r="K60" s="2"/>
      <c r="L60" s="1"/>
      <c r="M60" s="1"/>
      <c r="W60" s="1"/>
      <c r="X60" s="1"/>
      <c r="Z60" s="3"/>
      <c r="AC60" s="1">
        <f>AJ57/AJ58</f>
        <v>1.081375</v>
      </c>
      <c r="AD60" s="1"/>
      <c r="AE60" s="4"/>
      <c r="AH60">
        <f>AH57/AH58</f>
        <v>1.4</v>
      </c>
      <c r="AI60" s="1">
        <f>AI57/AI58</f>
        <v>1.5948</v>
      </c>
      <c r="AJ60">
        <f>AC57/AC58</f>
        <v>1.0009571428571429</v>
      </c>
    </row>
    <row r="61" spans="2:54" x14ac:dyDescent="0.25">
      <c r="D61" s="1"/>
      <c r="E61" s="1"/>
      <c r="F61" s="1"/>
      <c r="H61" s="1"/>
      <c r="I61" s="2"/>
      <c r="J61" s="2"/>
      <c r="K61" s="2"/>
      <c r="L61" s="1"/>
      <c r="M61" s="1"/>
      <c r="W61" s="1"/>
      <c r="X61" s="1"/>
      <c r="Z61" s="3"/>
      <c r="AC61" s="1"/>
      <c r="AD61" s="1"/>
      <c r="AE61" s="4"/>
      <c r="AI61" s="1"/>
    </row>
    <row r="62" spans="2:54" x14ac:dyDescent="0.25">
      <c r="D62" s="1"/>
      <c r="E62" s="1"/>
      <c r="F62" s="1"/>
      <c r="H62" s="1"/>
      <c r="I62" s="2"/>
      <c r="J62" s="2"/>
      <c r="K62" s="2"/>
      <c r="L62" s="1"/>
      <c r="M62" s="1"/>
      <c r="W62" s="1"/>
      <c r="X62" s="1"/>
      <c r="Z62" s="3"/>
      <c r="AC62" s="1"/>
      <c r="AD62" s="1"/>
      <c r="AE62" s="4"/>
      <c r="AI62" s="1"/>
    </row>
    <row r="63" spans="2:54" x14ac:dyDescent="0.25">
      <c r="D63" s="1"/>
      <c r="E63" s="1"/>
      <c r="F63" s="1"/>
      <c r="H63" s="1"/>
      <c r="I63" s="2"/>
      <c r="J63" s="2"/>
      <c r="K63" s="2"/>
      <c r="L63" s="1"/>
      <c r="M63" s="1"/>
      <c r="W63" s="1"/>
      <c r="X63" s="1"/>
      <c r="Z63" s="3"/>
      <c r="AC63" s="1"/>
      <c r="AD63" s="1"/>
      <c r="AE63" s="4"/>
      <c r="AI63" s="1"/>
    </row>
    <row r="64" spans="2:54" x14ac:dyDescent="0.25">
      <c r="D64" s="1"/>
      <c r="E64" s="1"/>
      <c r="F64" s="1"/>
      <c r="H64" s="1"/>
      <c r="I64" s="2"/>
      <c r="J64" s="2"/>
      <c r="K64" s="2"/>
      <c r="L64" s="1"/>
      <c r="M64" s="1"/>
      <c r="W64" s="1"/>
      <c r="X64" s="1"/>
      <c r="Z64" s="3"/>
      <c r="AC64" s="1"/>
      <c r="AD64" s="1"/>
      <c r="AE64" s="4"/>
      <c r="AI64" s="1"/>
    </row>
    <row r="65" spans="4:35" x14ac:dyDescent="0.25">
      <c r="D65" s="1"/>
      <c r="E65" s="1"/>
      <c r="F65" s="1"/>
      <c r="H65" s="1"/>
      <c r="I65" s="2"/>
      <c r="J65" s="2"/>
      <c r="K65" s="2"/>
      <c r="L65" s="1"/>
      <c r="M65" s="1"/>
      <c r="W65" s="1"/>
      <c r="X65" s="1"/>
      <c r="Z65" s="3"/>
      <c r="AC65" s="1"/>
      <c r="AD65" s="1"/>
      <c r="AE65" s="4"/>
      <c r="AI65" s="1"/>
    </row>
    <row r="66" spans="4:35" x14ac:dyDescent="0.25">
      <c r="D66" s="1"/>
      <c r="E66" s="1"/>
      <c r="F66" s="1"/>
      <c r="H66" s="1"/>
      <c r="I66" s="2"/>
      <c r="J66" s="2"/>
      <c r="K66" s="2"/>
      <c r="L66" s="1"/>
      <c r="M66" s="1"/>
      <c r="W66" s="1"/>
      <c r="X66" s="1"/>
      <c r="Z66" s="3"/>
      <c r="AC66" s="1"/>
      <c r="AD66" s="1"/>
      <c r="AE66" s="4"/>
      <c r="AI66" s="1"/>
    </row>
    <row r="67" spans="4:35" x14ac:dyDescent="0.25">
      <c r="D67" s="1"/>
      <c r="E67" s="1"/>
      <c r="F67" s="1"/>
      <c r="H67" s="1"/>
      <c r="I67" s="2"/>
      <c r="J67" s="2"/>
      <c r="K67" s="2"/>
      <c r="L67" s="1"/>
      <c r="M67" s="1"/>
      <c r="W67" s="1"/>
      <c r="X67" s="1"/>
      <c r="Z67" s="3"/>
      <c r="AC67" s="1"/>
      <c r="AD67" s="1"/>
      <c r="AE67" s="4"/>
      <c r="AI67" s="1"/>
    </row>
    <row r="68" spans="4:35" x14ac:dyDescent="0.25">
      <c r="D68" s="1"/>
      <c r="E68" s="1"/>
      <c r="F68" s="1"/>
      <c r="H68" s="1"/>
      <c r="I68" s="2"/>
      <c r="J68" s="2"/>
      <c r="K68" s="2"/>
      <c r="L68" s="1"/>
      <c r="M68" s="1"/>
      <c r="W68" s="1"/>
      <c r="X68" s="1"/>
      <c r="Z68" s="3"/>
      <c r="AC68" s="1"/>
      <c r="AD68" s="1"/>
      <c r="AE68" s="4"/>
      <c r="AI68" s="1"/>
    </row>
    <row r="69" spans="4:35" x14ac:dyDescent="0.25">
      <c r="D69" s="1"/>
      <c r="E69" s="1"/>
      <c r="F69" s="1"/>
      <c r="H69" s="1"/>
      <c r="I69" s="2"/>
      <c r="J69" s="2"/>
      <c r="K69" s="2"/>
      <c r="L69" s="1"/>
      <c r="M69" s="1"/>
      <c r="W69" s="1"/>
      <c r="X69" s="1"/>
      <c r="Z69" s="3"/>
      <c r="AC69" s="1"/>
      <c r="AD69" s="1"/>
      <c r="AE69" s="4"/>
      <c r="AI69" s="1"/>
    </row>
    <row r="70" spans="4:35" x14ac:dyDescent="0.25">
      <c r="D70" s="1"/>
      <c r="E70" s="1"/>
      <c r="F70" s="1"/>
      <c r="H70" s="1"/>
      <c r="I70" s="2"/>
      <c r="J70" s="2"/>
      <c r="K70" s="2"/>
      <c r="L70" s="1"/>
      <c r="M70" s="1"/>
      <c r="W70" s="1"/>
      <c r="X70" s="1"/>
      <c r="Z70" s="3"/>
      <c r="AC70" s="1"/>
      <c r="AD70" s="1"/>
      <c r="AE70" s="4"/>
      <c r="AI70" s="1"/>
    </row>
    <row r="71" spans="4:35" x14ac:dyDescent="0.25">
      <c r="D71" s="1"/>
      <c r="E71" s="1"/>
      <c r="F71" s="1"/>
      <c r="H71" s="1"/>
      <c r="I71" s="2"/>
      <c r="J71" s="2"/>
      <c r="K71" s="2"/>
      <c r="L71" s="1"/>
      <c r="M71" s="1"/>
      <c r="W71" s="1"/>
      <c r="X71" s="1"/>
      <c r="Z71" s="3"/>
      <c r="AC71" s="1"/>
      <c r="AD71" s="1"/>
      <c r="AE71" s="4"/>
      <c r="AI71" s="1"/>
    </row>
  </sheetData>
  <pageMargins left="0.7" right="0.7" top="0.75" bottom="0.75" header="0.3" footer="0.3"/>
  <pageSetup paperSize="9" orientation="portrait" horizontalDpi="4294967293" verticalDpi="4294967293"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A244"/>
  <sheetViews>
    <sheetView workbookViewId="0">
      <selection activeCell="E30" sqref="E30"/>
    </sheetView>
  </sheetViews>
  <sheetFormatPr defaultRowHeight="15" x14ac:dyDescent="0.25"/>
  <cols>
    <col min="1" max="1" width="10" style="41" customWidth="1"/>
    <col min="2" max="2" width="10.42578125" style="41" customWidth="1"/>
    <col min="3" max="3" width="8.28515625" customWidth="1"/>
    <col min="4" max="4" width="5.7109375" customWidth="1"/>
  </cols>
  <sheetData>
    <row r="2" spans="1:13" x14ac:dyDescent="0.25">
      <c r="C2" s="42" t="s">
        <v>137</v>
      </c>
      <c r="D2" s="42"/>
    </row>
    <row r="3" spans="1:13" x14ac:dyDescent="0.25">
      <c r="C3" s="41"/>
      <c r="D3" s="43" t="s">
        <v>138</v>
      </c>
    </row>
    <row r="4" spans="1:13" x14ac:dyDescent="0.25">
      <c r="C4" s="41"/>
      <c r="D4" t="s">
        <v>139</v>
      </c>
    </row>
    <row r="5" spans="1:13" x14ac:dyDescent="0.25">
      <c r="C5" s="41"/>
      <c r="D5" s="44" t="s">
        <v>265</v>
      </c>
    </row>
    <row r="6" spans="1:13" x14ac:dyDescent="0.25">
      <c r="C6" s="41"/>
      <c r="E6" t="s">
        <v>266</v>
      </c>
      <c r="M6" s="15" t="s">
        <v>140</v>
      </c>
    </row>
    <row r="7" spans="1:13" x14ac:dyDescent="0.25">
      <c r="C7" s="41"/>
      <c r="D7" t="s">
        <v>141</v>
      </c>
    </row>
    <row r="8" spans="1:13" x14ac:dyDescent="0.25">
      <c r="C8" s="41"/>
      <c r="E8" t="s">
        <v>267</v>
      </c>
    </row>
    <row r="9" spans="1:13" x14ac:dyDescent="0.25">
      <c r="C9" s="41"/>
      <c r="E9" t="s">
        <v>268</v>
      </c>
      <c r="M9" s="15" t="s">
        <v>142</v>
      </c>
    </row>
    <row r="10" spans="1:13" x14ac:dyDescent="0.25">
      <c r="C10" s="41"/>
      <c r="D10" t="s">
        <v>143</v>
      </c>
    </row>
    <row r="11" spans="1:13" x14ac:dyDescent="0.25">
      <c r="C11" s="41"/>
      <c r="D11" t="s">
        <v>269</v>
      </c>
    </row>
    <row r="12" spans="1:13" x14ac:dyDescent="0.25">
      <c r="C12" s="41"/>
      <c r="D12" t="s">
        <v>270</v>
      </c>
      <c r="M12" s="15" t="s">
        <v>144</v>
      </c>
    </row>
    <row r="13" spans="1:13" x14ac:dyDescent="0.25">
      <c r="A13" s="42" t="s">
        <v>145</v>
      </c>
      <c r="B13" s="42" t="s">
        <v>146</v>
      </c>
      <c r="C13" s="42" t="s">
        <v>22</v>
      </c>
      <c r="D13" s="15" t="s">
        <v>147</v>
      </c>
      <c r="E13" s="15" t="s">
        <v>148</v>
      </c>
    </row>
    <row r="14" spans="1:13" x14ac:dyDescent="0.25">
      <c r="A14" s="42"/>
      <c r="B14" s="45" t="s">
        <v>149</v>
      </c>
      <c r="C14" s="42"/>
      <c r="D14" s="46">
        <v>6</v>
      </c>
      <c r="E14" s="46" t="s">
        <v>150</v>
      </c>
    </row>
    <row r="15" spans="1:13" x14ac:dyDescent="0.25">
      <c r="A15" s="42"/>
      <c r="B15" s="42"/>
      <c r="C15" s="42"/>
      <c r="D15" s="46"/>
      <c r="E15" s="46" t="s">
        <v>151</v>
      </c>
    </row>
    <row r="16" spans="1:13" x14ac:dyDescent="0.25">
      <c r="A16" s="42"/>
      <c r="B16" s="42"/>
      <c r="C16" s="42"/>
      <c r="D16" s="46">
        <v>7</v>
      </c>
      <c r="E16" s="15" t="s">
        <v>152</v>
      </c>
    </row>
    <row r="17" spans="1:21" x14ac:dyDescent="0.25">
      <c r="A17" s="42"/>
      <c r="B17" s="42"/>
      <c r="C17" s="42"/>
      <c r="D17" s="46">
        <v>9</v>
      </c>
      <c r="E17" s="15" t="s">
        <v>279</v>
      </c>
    </row>
    <row r="18" spans="1:21" x14ac:dyDescent="0.25">
      <c r="A18" s="41">
        <v>1</v>
      </c>
      <c r="B18" s="41" t="s">
        <v>149</v>
      </c>
      <c r="C18" s="41"/>
      <c r="D18" s="47" t="s">
        <v>153</v>
      </c>
      <c r="E18" s="15" t="s">
        <v>154</v>
      </c>
      <c r="J18" t="s">
        <v>155</v>
      </c>
    </row>
    <row r="19" spans="1:21" x14ac:dyDescent="0.25">
      <c r="C19" s="41"/>
      <c r="E19" t="s">
        <v>156</v>
      </c>
    </row>
    <row r="20" spans="1:21" x14ac:dyDescent="0.25">
      <c r="C20" s="41"/>
      <c r="E20" t="s">
        <v>157</v>
      </c>
    </row>
    <row r="21" spans="1:21" x14ac:dyDescent="0.25">
      <c r="C21" s="41"/>
      <c r="D21">
        <v>23</v>
      </c>
      <c r="E21" t="s">
        <v>158</v>
      </c>
    </row>
    <row r="22" spans="1:21" x14ac:dyDescent="0.25">
      <c r="C22" s="41"/>
      <c r="D22">
        <v>32</v>
      </c>
      <c r="E22" t="s">
        <v>159</v>
      </c>
    </row>
    <row r="23" spans="1:21" x14ac:dyDescent="0.25">
      <c r="C23" s="41"/>
      <c r="D23">
        <v>46</v>
      </c>
      <c r="E23" t="s">
        <v>160</v>
      </c>
    </row>
    <row r="24" spans="1:21" x14ac:dyDescent="0.25">
      <c r="C24" s="41"/>
      <c r="D24">
        <v>47</v>
      </c>
      <c r="E24" t="s">
        <v>161</v>
      </c>
    </row>
    <row r="25" spans="1:21" x14ac:dyDescent="0.25">
      <c r="C25" s="41"/>
      <c r="D25">
        <v>48</v>
      </c>
      <c r="E25" t="s">
        <v>162</v>
      </c>
    </row>
    <row r="26" spans="1:21" x14ac:dyDescent="0.25">
      <c r="C26" s="41"/>
      <c r="D26">
        <v>49</v>
      </c>
      <c r="E26" t="s">
        <v>163</v>
      </c>
    </row>
    <row r="27" spans="1:21" x14ac:dyDescent="0.25">
      <c r="A27" s="41">
        <v>2</v>
      </c>
      <c r="B27" s="41" t="s">
        <v>164</v>
      </c>
      <c r="C27" s="41" t="s">
        <v>23</v>
      </c>
      <c r="E27" s="15" t="s">
        <v>165</v>
      </c>
    </row>
    <row r="28" spans="1:21" x14ac:dyDescent="0.25">
      <c r="C28" s="41"/>
      <c r="E28" t="s">
        <v>166</v>
      </c>
      <c r="I28" t="s">
        <v>167</v>
      </c>
      <c r="M28" t="s">
        <v>168</v>
      </c>
      <c r="U28" t="s">
        <v>169</v>
      </c>
    </row>
    <row r="29" spans="1:21" x14ac:dyDescent="0.25">
      <c r="C29" s="41"/>
      <c r="D29">
        <v>22</v>
      </c>
      <c r="E29" t="s">
        <v>170</v>
      </c>
      <c r="L29" t="s">
        <v>171</v>
      </c>
      <c r="S29" t="s">
        <v>169</v>
      </c>
    </row>
    <row r="30" spans="1:21" x14ac:dyDescent="0.25">
      <c r="C30" s="41"/>
      <c r="D30">
        <v>35</v>
      </c>
      <c r="E30" t="s">
        <v>513</v>
      </c>
    </row>
    <row r="31" spans="1:21" x14ac:dyDescent="0.25">
      <c r="A31" s="41">
        <v>3</v>
      </c>
      <c r="B31" s="41" t="s">
        <v>172</v>
      </c>
      <c r="C31" s="41" t="s">
        <v>23</v>
      </c>
      <c r="E31" s="15" t="s">
        <v>173</v>
      </c>
    </row>
    <row r="32" spans="1:21" x14ac:dyDescent="0.25">
      <c r="C32" s="41"/>
      <c r="E32" t="s">
        <v>174</v>
      </c>
    </row>
    <row r="33" spans="1:27" x14ac:dyDescent="0.25">
      <c r="A33" s="41">
        <v>4</v>
      </c>
      <c r="B33" s="41" t="s">
        <v>175</v>
      </c>
      <c r="C33" s="41" t="s">
        <v>23</v>
      </c>
      <c r="E33" s="15" t="s">
        <v>176</v>
      </c>
    </row>
    <row r="34" spans="1:27" x14ac:dyDescent="0.25">
      <c r="C34" s="41"/>
      <c r="D34">
        <v>31</v>
      </c>
      <c r="E34" t="s">
        <v>177</v>
      </c>
    </row>
    <row r="35" spans="1:27" x14ac:dyDescent="0.25">
      <c r="C35" s="41"/>
      <c r="D35">
        <v>35</v>
      </c>
      <c r="E35" t="s">
        <v>178</v>
      </c>
      <c r="O35" t="s">
        <v>167</v>
      </c>
    </row>
    <row r="36" spans="1:27" x14ac:dyDescent="0.25">
      <c r="C36" s="41"/>
      <c r="D36">
        <v>40</v>
      </c>
      <c r="E36" t="s">
        <v>179</v>
      </c>
      <c r="P36" t="s">
        <v>180</v>
      </c>
    </row>
    <row r="37" spans="1:27" x14ac:dyDescent="0.25">
      <c r="A37" s="41">
        <v>5</v>
      </c>
      <c r="B37" s="41" t="s">
        <v>181</v>
      </c>
      <c r="C37" s="41" t="s">
        <v>23</v>
      </c>
      <c r="E37" s="15" t="s">
        <v>182</v>
      </c>
    </row>
    <row r="38" spans="1:27" x14ac:dyDescent="0.25">
      <c r="C38" s="41"/>
      <c r="E38" t="s">
        <v>183</v>
      </c>
    </row>
    <row r="39" spans="1:27" x14ac:dyDescent="0.25">
      <c r="C39" s="41"/>
      <c r="D39">
        <v>15</v>
      </c>
      <c r="E39" s="48" t="s">
        <v>184</v>
      </c>
    </row>
    <row r="40" spans="1:27" x14ac:dyDescent="0.25">
      <c r="C40" s="41"/>
      <c r="D40">
        <v>16</v>
      </c>
      <c r="E40" s="48" t="s">
        <v>185</v>
      </c>
    </row>
    <row r="41" spans="1:27" x14ac:dyDescent="0.25">
      <c r="C41" s="41"/>
      <c r="D41">
        <v>17</v>
      </c>
      <c r="E41" s="49" t="s">
        <v>186</v>
      </c>
    </row>
    <row r="42" spans="1:27" x14ac:dyDescent="0.25">
      <c r="A42" s="50"/>
      <c r="B42" s="50"/>
      <c r="C42" s="50"/>
      <c r="D42" s="51">
        <v>25</v>
      </c>
      <c r="E42" s="49" t="s">
        <v>187</v>
      </c>
      <c r="F42" s="51"/>
      <c r="G42" s="51"/>
      <c r="H42" s="51"/>
      <c r="I42" s="51"/>
      <c r="J42" s="51"/>
      <c r="K42" s="51"/>
      <c r="L42" s="51"/>
      <c r="M42" s="51"/>
      <c r="N42" s="51"/>
      <c r="O42" s="51"/>
      <c r="P42" s="51"/>
      <c r="Q42" s="51"/>
      <c r="R42" s="51"/>
      <c r="S42" s="51"/>
      <c r="T42" s="51"/>
      <c r="U42" s="51"/>
      <c r="V42" s="51"/>
      <c r="W42" s="51"/>
      <c r="X42" s="51"/>
      <c r="Y42" s="51"/>
      <c r="Z42" s="51"/>
      <c r="AA42" s="51"/>
    </row>
    <row r="43" spans="1:27" x14ac:dyDescent="0.25">
      <c r="C43" s="41"/>
      <c r="D43">
        <v>28</v>
      </c>
      <c r="E43" t="s">
        <v>188</v>
      </c>
    </row>
    <row r="44" spans="1:27" x14ac:dyDescent="0.25">
      <c r="C44" s="41"/>
      <c r="D44">
        <v>30</v>
      </c>
      <c r="E44" t="s">
        <v>189</v>
      </c>
    </row>
    <row r="45" spans="1:27" x14ac:dyDescent="0.25">
      <c r="C45" s="41"/>
      <c r="D45">
        <v>46</v>
      </c>
      <c r="E45" t="s">
        <v>190</v>
      </c>
    </row>
    <row r="46" spans="1:27" x14ac:dyDescent="0.25">
      <c r="A46" s="41">
        <v>6</v>
      </c>
      <c r="B46" s="41" t="s">
        <v>191</v>
      </c>
      <c r="C46" s="41" t="s">
        <v>23</v>
      </c>
      <c r="E46" s="15" t="s">
        <v>192</v>
      </c>
    </row>
    <row r="47" spans="1:27" x14ac:dyDescent="0.25">
      <c r="C47" s="41"/>
      <c r="D47">
        <v>11</v>
      </c>
      <c r="E47" t="s">
        <v>193</v>
      </c>
    </row>
    <row r="48" spans="1:27" x14ac:dyDescent="0.25">
      <c r="C48" s="41"/>
      <c r="D48">
        <v>48</v>
      </c>
      <c r="E48" t="s">
        <v>194</v>
      </c>
    </row>
    <row r="49" spans="1:5" x14ac:dyDescent="0.25">
      <c r="A49" s="41">
        <v>7</v>
      </c>
      <c r="B49" s="41" t="s">
        <v>195</v>
      </c>
      <c r="C49" s="41" t="s">
        <v>24</v>
      </c>
      <c r="E49" s="15" t="s">
        <v>196</v>
      </c>
    </row>
    <row r="50" spans="1:5" x14ac:dyDescent="0.25">
      <c r="C50" s="41"/>
      <c r="E50" t="s">
        <v>197</v>
      </c>
    </row>
    <row r="51" spans="1:5" x14ac:dyDescent="0.25">
      <c r="C51" s="41"/>
      <c r="E51" t="s">
        <v>198</v>
      </c>
    </row>
    <row r="52" spans="1:5" x14ac:dyDescent="0.25">
      <c r="C52" s="41"/>
      <c r="E52" t="s">
        <v>199</v>
      </c>
    </row>
    <row r="53" spans="1:5" x14ac:dyDescent="0.25">
      <c r="C53" s="41"/>
      <c r="D53" t="s">
        <v>444</v>
      </c>
      <c r="E53" t="s">
        <v>200</v>
      </c>
    </row>
    <row r="54" spans="1:5" x14ac:dyDescent="0.25">
      <c r="C54" s="41"/>
      <c r="E54" s="44" t="s">
        <v>201</v>
      </c>
    </row>
    <row r="55" spans="1:5" x14ac:dyDescent="0.25">
      <c r="C55" s="41"/>
      <c r="E55" t="s">
        <v>202</v>
      </c>
    </row>
    <row r="56" spans="1:5" x14ac:dyDescent="0.25">
      <c r="A56" s="41">
        <v>8</v>
      </c>
      <c r="B56" s="41" t="s">
        <v>203</v>
      </c>
      <c r="C56" s="41" t="s">
        <v>24</v>
      </c>
      <c r="E56" s="15" t="s">
        <v>204</v>
      </c>
    </row>
    <row r="57" spans="1:5" x14ac:dyDescent="0.25">
      <c r="C57" s="41"/>
      <c r="E57" t="s">
        <v>205</v>
      </c>
    </row>
    <row r="58" spans="1:5" x14ac:dyDescent="0.25">
      <c r="C58" s="41"/>
      <c r="D58">
        <v>17</v>
      </c>
      <c r="E58" t="s">
        <v>439</v>
      </c>
    </row>
    <row r="59" spans="1:5" x14ac:dyDescent="0.25">
      <c r="C59" s="41"/>
      <c r="D59">
        <v>19</v>
      </c>
      <c r="E59" s="52" t="s">
        <v>206</v>
      </c>
    </row>
    <row r="60" spans="1:5" x14ac:dyDescent="0.25">
      <c r="C60" s="41"/>
      <c r="D60">
        <v>21</v>
      </c>
      <c r="E60" t="s">
        <v>207</v>
      </c>
    </row>
    <row r="61" spans="1:5" x14ac:dyDescent="0.25">
      <c r="C61" s="41"/>
      <c r="D61">
        <v>35</v>
      </c>
      <c r="E61" t="s">
        <v>208</v>
      </c>
    </row>
    <row r="62" spans="1:5" x14ac:dyDescent="0.25">
      <c r="C62" s="41"/>
      <c r="D62">
        <v>36</v>
      </c>
      <c r="E62" t="s">
        <v>209</v>
      </c>
    </row>
    <row r="63" spans="1:5" x14ac:dyDescent="0.25">
      <c r="A63" s="41">
        <v>9</v>
      </c>
      <c r="B63" s="41" t="s">
        <v>210</v>
      </c>
      <c r="C63" s="41" t="s">
        <v>25</v>
      </c>
      <c r="E63" s="15" t="s">
        <v>211</v>
      </c>
    </row>
    <row r="64" spans="1:5" x14ac:dyDescent="0.25">
      <c r="C64" s="41"/>
      <c r="E64" t="s">
        <v>212</v>
      </c>
    </row>
    <row r="65" spans="1:5" x14ac:dyDescent="0.25">
      <c r="A65" s="41">
        <v>10</v>
      </c>
      <c r="B65" s="41" t="s">
        <v>213</v>
      </c>
      <c r="C65" s="41" t="s">
        <v>25</v>
      </c>
      <c r="E65" s="15" t="s">
        <v>214</v>
      </c>
    </row>
    <row r="66" spans="1:5" x14ac:dyDescent="0.25">
      <c r="C66" s="41"/>
      <c r="E66" t="s">
        <v>215</v>
      </c>
    </row>
    <row r="67" spans="1:5" x14ac:dyDescent="0.25">
      <c r="A67" s="41">
        <v>11</v>
      </c>
      <c r="B67" s="41" t="s">
        <v>216</v>
      </c>
      <c r="C67" s="41" t="s">
        <v>25</v>
      </c>
      <c r="E67" s="15" t="s">
        <v>217</v>
      </c>
    </row>
    <row r="68" spans="1:5" x14ac:dyDescent="0.25">
      <c r="C68" s="41"/>
      <c r="E68" t="s">
        <v>218</v>
      </c>
    </row>
    <row r="69" spans="1:5" x14ac:dyDescent="0.25">
      <c r="C69" s="41"/>
      <c r="D69">
        <v>47</v>
      </c>
      <c r="E69" t="s">
        <v>219</v>
      </c>
    </row>
    <row r="70" spans="1:5" x14ac:dyDescent="0.25">
      <c r="C70" s="41"/>
      <c r="D70" t="s">
        <v>445</v>
      </c>
      <c r="E70" t="s">
        <v>220</v>
      </c>
    </row>
    <row r="71" spans="1:5" x14ac:dyDescent="0.25">
      <c r="A71" s="41">
        <v>12</v>
      </c>
      <c r="B71" s="41" t="s">
        <v>221</v>
      </c>
      <c r="C71" s="41" t="s">
        <v>26</v>
      </c>
      <c r="E71" s="15" t="s">
        <v>222</v>
      </c>
    </row>
    <row r="72" spans="1:5" x14ac:dyDescent="0.25">
      <c r="C72" s="41"/>
      <c r="E72" t="s">
        <v>223</v>
      </c>
    </row>
    <row r="73" spans="1:5" x14ac:dyDescent="0.25">
      <c r="C73" s="41"/>
      <c r="D73">
        <v>50</v>
      </c>
      <c r="E73" t="s">
        <v>224</v>
      </c>
    </row>
    <row r="74" spans="1:5" x14ac:dyDescent="0.25">
      <c r="A74" s="41">
        <v>13</v>
      </c>
      <c r="B74" s="41" t="s">
        <v>225</v>
      </c>
      <c r="C74" s="41" t="s">
        <v>26</v>
      </c>
      <c r="E74" s="15" t="s">
        <v>226</v>
      </c>
    </row>
    <row r="75" spans="1:5" x14ac:dyDescent="0.25">
      <c r="C75" s="41"/>
      <c r="E75" t="s">
        <v>227</v>
      </c>
    </row>
    <row r="76" spans="1:5" x14ac:dyDescent="0.25">
      <c r="C76" s="41"/>
      <c r="D76">
        <v>20</v>
      </c>
      <c r="E76" t="s">
        <v>228</v>
      </c>
    </row>
    <row r="77" spans="1:5" x14ac:dyDescent="0.25">
      <c r="C77" s="41"/>
      <c r="D77">
        <v>21</v>
      </c>
      <c r="E77" t="s">
        <v>229</v>
      </c>
    </row>
    <row r="78" spans="1:5" x14ac:dyDescent="0.25">
      <c r="C78" s="41"/>
      <c r="D78">
        <v>22</v>
      </c>
      <c r="E78" t="s">
        <v>230</v>
      </c>
    </row>
    <row r="79" spans="1:5" x14ac:dyDescent="0.25">
      <c r="C79" s="41"/>
      <c r="D79" t="s">
        <v>446</v>
      </c>
      <c r="E79" t="s">
        <v>231</v>
      </c>
    </row>
    <row r="80" spans="1:5" x14ac:dyDescent="0.25">
      <c r="C80" s="41"/>
      <c r="D80">
        <v>28</v>
      </c>
      <c r="E80" t="s">
        <v>232</v>
      </c>
    </row>
    <row r="81" spans="1:5" x14ac:dyDescent="0.25">
      <c r="C81" s="41"/>
      <c r="D81">
        <v>50</v>
      </c>
      <c r="E81" t="s">
        <v>233</v>
      </c>
    </row>
    <row r="82" spans="1:5" x14ac:dyDescent="0.25">
      <c r="A82" s="41">
        <v>14</v>
      </c>
      <c r="B82" s="41" t="s">
        <v>234</v>
      </c>
      <c r="C82" s="41" t="s">
        <v>26</v>
      </c>
      <c r="E82" s="15" t="s">
        <v>235</v>
      </c>
    </row>
    <row r="83" spans="1:5" x14ac:dyDescent="0.25">
      <c r="C83" s="41"/>
      <c r="E83" t="s">
        <v>236</v>
      </c>
    </row>
    <row r="84" spans="1:5" x14ac:dyDescent="0.25">
      <c r="A84" s="41">
        <v>15</v>
      </c>
      <c r="B84" s="41" t="s">
        <v>237</v>
      </c>
      <c r="C84" s="41" t="s">
        <v>26</v>
      </c>
      <c r="E84" s="15" t="s">
        <v>238</v>
      </c>
    </row>
    <row r="85" spans="1:5" x14ac:dyDescent="0.25">
      <c r="C85" s="41"/>
      <c r="E85" t="s">
        <v>236</v>
      </c>
    </row>
    <row r="86" spans="1:5" x14ac:dyDescent="0.25">
      <c r="C86" s="41"/>
      <c r="D86">
        <v>35</v>
      </c>
      <c r="E86" t="s">
        <v>239</v>
      </c>
    </row>
    <row r="87" spans="1:5" x14ac:dyDescent="0.25">
      <c r="A87" s="41">
        <v>16</v>
      </c>
      <c r="B87" s="41" t="s">
        <v>240</v>
      </c>
      <c r="C87" s="41" t="s">
        <v>27</v>
      </c>
      <c r="E87" s="15" t="s">
        <v>241</v>
      </c>
    </row>
    <row r="88" spans="1:5" x14ac:dyDescent="0.25">
      <c r="C88" s="41"/>
      <c r="D88" s="47" t="s">
        <v>447</v>
      </c>
      <c r="E88" t="s">
        <v>242</v>
      </c>
    </row>
    <row r="89" spans="1:5" x14ac:dyDescent="0.25">
      <c r="C89" s="41"/>
      <c r="D89" t="s">
        <v>289</v>
      </c>
      <c r="E89" t="s">
        <v>243</v>
      </c>
    </row>
    <row r="90" spans="1:5" x14ac:dyDescent="0.25">
      <c r="C90" s="41"/>
      <c r="D90" t="s">
        <v>307</v>
      </c>
      <c r="E90" t="s">
        <v>244</v>
      </c>
    </row>
    <row r="91" spans="1:5" x14ac:dyDescent="0.25">
      <c r="A91" s="41">
        <v>17</v>
      </c>
      <c r="B91" s="41" t="s">
        <v>245</v>
      </c>
      <c r="C91" s="41" t="s">
        <v>27</v>
      </c>
      <c r="E91" s="15" t="s">
        <v>47</v>
      </c>
    </row>
    <row r="92" spans="1:5" x14ac:dyDescent="0.25">
      <c r="A92" s="41">
        <v>18</v>
      </c>
      <c r="B92" s="41" t="s">
        <v>246</v>
      </c>
      <c r="C92" s="41" t="s">
        <v>247</v>
      </c>
      <c r="E92" s="15" t="s">
        <v>283</v>
      </c>
    </row>
    <row r="93" spans="1:5" x14ac:dyDescent="0.25">
      <c r="C93" s="41"/>
      <c r="E93" t="s">
        <v>249</v>
      </c>
    </row>
    <row r="94" spans="1:5" x14ac:dyDescent="0.25">
      <c r="C94" s="41"/>
      <c r="E94" t="s">
        <v>250</v>
      </c>
    </row>
    <row r="95" spans="1:5" x14ac:dyDescent="0.25">
      <c r="C95" s="41"/>
      <c r="E95" t="s">
        <v>251</v>
      </c>
    </row>
    <row r="96" spans="1:5" x14ac:dyDescent="0.25">
      <c r="C96" s="41"/>
      <c r="E96" t="s">
        <v>252</v>
      </c>
    </row>
    <row r="97" spans="1:5" x14ac:dyDescent="0.25">
      <c r="A97" s="41">
        <v>19</v>
      </c>
      <c r="B97" s="41" t="s">
        <v>253</v>
      </c>
      <c r="C97" s="43" t="s">
        <v>254</v>
      </c>
      <c r="E97" s="15" t="s">
        <v>284</v>
      </c>
    </row>
    <row r="98" spans="1:5" x14ac:dyDescent="0.25">
      <c r="C98" s="41"/>
      <c r="E98" t="s">
        <v>249</v>
      </c>
    </row>
    <row r="99" spans="1:5" x14ac:dyDescent="0.25">
      <c r="C99" s="41"/>
      <c r="E99" t="s">
        <v>250</v>
      </c>
    </row>
    <row r="100" spans="1:5" x14ac:dyDescent="0.25">
      <c r="C100" s="41"/>
      <c r="E100" t="s">
        <v>251</v>
      </c>
    </row>
    <row r="101" spans="1:5" x14ac:dyDescent="0.25">
      <c r="C101" s="41"/>
      <c r="E101" t="s">
        <v>256</v>
      </c>
    </row>
    <row r="102" spans="1:5" x14ac:dyDescent="0.25">
      <c r="A102" s="41">
        <v>20</v>
      </c>
      <c r="B102" s="41" t="s">
        <v>257</v>
      </c>
      <c r="C102" s="41"/>
      <c r="E102" s="15" t="s">
        <v>258</v>
      </c>
    </row>
    <row r="103" spans="1:5" x14ac:dyDescent="0.25">
      <c r="C103" s="41"/>
      <c r="E103" t="s">
        <v>259</v>
      </c>
    </row>
    <row r="104" spans="1:5" x14ac:dyDescent="0.25">
      <c r="A104" s="41">
        <v>21</v>
      </c>
      <c r="B104" s="41" t="s">
        <v>260</v>
      </c>
      <c r="C104" s="41"/>
      <c r="E104" s="15" t="s">
        <v>261</v>
      </c>
    </row>
    <row r="105" spans="1:5" x14ac:dyDescent="0.25">
      <c r="C105" s="41"/>
      <c r="E105" t="s">
        <v>276</v>
      </c>
    </row>
    <row r="106" spans="1:5" x14ac:dyDescent="0.25">
      <c r="C106" s="41"/>
      <c r="E106" t="s">
        <v>262</v>
      </c>
    </row>
    <row r="107" spans="1:5" x14ac:dyDescent="0.25">
      <c r="C107" s="41"/>
      <c r="D107" t="s">
        <v>289</v>
      </c>
      <c r="E107" t="s">
        <v>291</v>
      </c>
    </row>
    <row r="108" spans="1:5" x14ac:dyDescent="0.25">
      <c r="C108" s="41"/>
      <c r="D108">
        <v>28</v>
      </c>
      <c r="E108" s="44" t="s">
        <v>292</v>
      </c>
    </row>
    <row r="109" spans="1:5" x14ac:dyDescent="0.25">
      <c r="C109" s="41"/>
      <c r="D109">
        <v>41</v>
      </c>
      <c r="E109" t="s">
        <v>263</v>
      </c>
    </row>
    <row r="110" spans="1:5" x14ac:dyDescent="0.25">
      <c r="C110" s="41"/>
      <c r="D110">
        <v>42</v>
      </c>
      <c r="E110" t="s">
        <v>264</v>
      </c>
    </row>
    <row r="111" spans="1:5" x14ac:dyDescent="0.25">
      <c r="A111" s="41">
        <v>22</v>
      </c>
      <c r="B111" s="41" t="s">
        <v>277</v>
      </c>
      <c r="C111" s="41"/>
      <c r="E111" s="15" t="s">
        <v>280</v>
      </c>
    </row>
    <row r="112" spans="1:5" x14ac:dyDescent="0.25">
      <c r="C112" s="41"/>
      <c r="E112" t="s">
        <v>281</v>
      </c>
    </row>
    <row r="113" spans="1:5" x14ac:dyDescent="0.25">
      <c r="D113">
        <v>17</v>
      </c>
      <c r="E113" t="s">
        <v>440</v>
      </c>
    </row>
    <row r="114" spans="1:5" x14ac:dyDescent="0.25">
      <c r="D114" t="s">
        <v>448</v>
      </c>
      <c r="E114" t="s">
        <v>290</v>
      </c>
    </row>
    <row r="115" spans="1:5" x14ac:dyDescent="0.25">
      <c r="D115">
        <v>28</v>
      </c>
      <c r="E115" s="44" t="s">
        <v>292</v>
      </c>
    </row>
    <row r="116" spans="1:5" x14ac:dyDescent="0.25">
      <c r="E116" s="44" t="s">
        <v>308</v>
      </c>
    </row>
    <row r="117" spans="1:5" x14ac:dyDescent="0.25">
      <c r="D117" t="s">
        <v>449</v>
      </c>
      <c r="E117" s="44" t="s">
        <v>347</v>
      </c>
    </row>
    <row r="121" spans="1:5" x14ac:dyDescent="0.25">
      <c r="A121" s="41">
        <v>23</v>
      </c>
      <c r="B121" s="41" t="s">
        <v>282</v>
      </c>
      <c r="C121" t="s">
        <v>247</v>
      </c>
      <c r="E121" s="15" t="s">
        <v>248</v>
      </c>
    </row>
    <row r="122" spans="1:5" x14ac:dyDescent="0.25">
      <c r="E122" t="s">
        <v>286</v>
      </c>
    </row>
    <row r="123" spans="1:5" x14ac:dyDescent="0.25">
      <c r="E123" t="s">
        <v>293</v>
      </c>
    </row>
    <row r="124" spans="1:5" x14ac:dyDescent="0.25">
      <c r="E124" t="s">
        <v>287</v>
      </c>
    </row>
    <row r="125" spans="1:5" x14ac:dyDescent="0.25">
      <c r="E125" t="s">
        <v>288</v>
      </c>
    </row>
    <row r="126" spans="1:5" x14ac:dyDescent="0.25">
      <c r="A126" s="41">
        <v>24</v>
      </c>
      <c r="B126" s="41" t="s">
        <v>294</v>
      </c>
      <c r="C126" t="s">
        <v>278</v>
      </c>
      <c r="E126" s="15" t="s">
        <v>255</v>
      </c>
    </row>
    <row r="127" spans="1:5" x14ac:dyDescent="0.25">
      <c r="E127" t="s">
        <v>295</v>
      </c>
    </row>
    <row r="128" spans="1:5" x14ac:dyDescent="0.25">
      <c r="E128" t="s">
        <v>296</v>
      </c>
    </row>
    <row r="129" spans="1:5" x14ac:dyDescent="0.25">
      <c r="E129" t="s">
        <v>297</v>
      </c>
    </row>
    <row r="130" spans="1:5" x14ac:dyDescent="0.25">
      <c r="E130" t="s">
        <v>288</v>
      </c>
    </row>
    <row r="131" spans="1:5" x14ac:dyDescent="0.25">
      <c r="A131" s="63" t="s">
        <v>298</v>
      </c>
    </row>
    <row r="132" spans="1:5" x14ac:dyDescent="0.25">
      <c r="A132" s="63"/>
      <c r="E132" s="62" t="s">
        <v>411</v>
      </c>
    </row>
    <row r="133" spans="1:5" x14ac:dyDescent="0.25">
      <c r="A133" s="41">
        <v>25</v>
      </c>
      <c r="B133" s="41" t="s">
        <v>299</v>
      </c>
      <c r="E133" s="15" t="s">
        <v>300</v>
      </c>
    </row>
    <row r="134" spans="1:5" x14ac:dyDescent="0.25">
      <c r="E134" t="s">
        <v>301</v>
      </c>
    </row>
    <row r="135" spans="1:5" x14ac:dyDescent="0.25">
      <c r="E135" t="s">
        <v>302</v>
      </c>
    </row>
    <row r="136" spans="1:5" x14ac:dyDescent="0.25">
      <c r="A136" s="41">
        <v>26</v>
      </c>
      <c r="B136" s="41" t="s">
        <v>303</v>
      </c>
      <c r="E136" s="15" t="s">
        <v>53</v>
      </c>
    </row>
    <row r="137" spans="1:5" x14ac:dyDescent="0.25">
      <c r="E137" t="s">
        <v>304</v>
      </c>
    </row>
    <row r="138" spans="1:5" x14ac:dyDescent="0.25">
      <c r="E138" t="s">
        <v>305</v>
      </c>
    </row>
    <row r="139" spans="1:5" x14ac:dyDescent="0.25">
      <c r="A139" s="41">
        <v>27</v>
      </c>
      <c r="B139" s="41" t="s">
        <v>306</v>
      </c>
      <c r="E139" t="s">
        <v>309</v>
      </c>
    </row>
    <row r="140" spans="1:5" x14ac:dyDescent="0.25">
      <c r="E140" t="s">
        <v>310</v>
      </c>
    </row>
    <row r="141" spans="1:5" x14ac:dyDescent="0.25">
      <c r="E141" t="s">
        <v>311</v>
      </c>
    </row>
    <row r="142" spans="1:5" x14ac:dyDescent="0.25">
      <c r="A142" s="41">
        <v>28</v>
      </c>
      <c r="B142" s="41" t="s">
        <v>312</v>
      </c>
      <c r="C142" t="s">
        <v>23</v>
      </c>
      <c r="E142" s="15" t="s">
        <v>313</v>
      </c>
    </row>
    <row r="143" spans="1:5" x14ac:dyDescent="0.25">
      <c r="E143" t="s">
        <v>314</v>
      </c>
    </row>
    <row r="144" spans="1:5" x14ac:dyDescent="0.25">
      <c r="A144" s="41">
        <v>29</v>
      </c>
      <c r="B144" s="41" t="s">
        <v>315</v>
      </c>
      <c r="C144" t="s">
        <v>23</v>
      </c>
      <c r="E144" s="15" t="s">
        <v>316</v>
      </c>
    </row>
    <row r="145" spans="1:5" x14ac:dyDescent="0.25">
      <c r="E145" t="s">
        <v>317</v>
      </c>
    </row>
    <row r="146" spans="1:5" x14ac:dyDescent="0.25">
      <c r="A146" s="41">
        <v>30</v>
      </c>
      <c r="B146" s="41" t="s">
        <v>318</v>
      </c>
      <c r="C146" t="s">
        <v>23</v>
      </c>
      <c r="E146" s="15" t="s">
        <v>319</v>
      </c>
    </row>
    <row r="147" spans="1:5" x14ac:dyDescent="0.25">
      <c r="E147" t="s">
        <v>320</v>
      </c>
    </row>
    <row r="148" spans="1:5" x14ac:dyDescent="0.25">
      <c r="E148" t="s">
        <v>321</v>
      </c>
    </row>
    <row r="149" spans="1:5" x14ac:dyDescent="0.25">
      <c r="E149" t="s">
        <v>339</v>
      </c>
    </row>
    <row r="150" spans="1:5" x14ac:dyDescent="0.25">
      <c r="E150" t="s">
        <v>323</v>
      </c>
    </row>
    <row r="151" spans="1:5" x14ac:dyDescent="0.25">
      <c r="E151" t="s">
        <v>324</v>
      </c>
    </row>
    <row r="152" spans="1:5" x14ac:dyDescent="0.25">
      <c r="A152" s="41">
        <v>31</v>
      </c>
      <c r="B152" s="41" t="s">
        <v>322</v>
      </c>
      <c r="E152" s="15" t="s">
        <v>325</v>
      </c>
    </row>
    <row r="153" spans="1:5" x14ac:dyDescent="0.25">
      <c r="E153" t="s">
        <v>326</v>
      </c>
    </row>
    <row r="154" spans="1:5" x14ac:dyDescent="0.25">
      <c r="E154" t="s">
        <v>327</v>
      </c>
    </row>
    <row r="155" spans="1:5" x14ac:dyDescent="0.25">
      <c r="E155" t="s">
        <v>328</v>
      </c>
    </row>
    <row r="156" spans="1:5" x14ac:dyDescent="0.25">
      <c r="E156" t="s">
        <v>337</v>
      </c>
    </row>
    <row r="157" spans="1:5" x14ac:dyDescent="0.25">
      <c r="E157" t="s">
        <v>329</v>
      </c>
    </row>
    <row r="158" spans="1:5" x14ac:dyDescent="0.25">
      <c r="E158" t="s">
        <v>330</v>
      </c>
    </row>
    <row r="159" spans="1:5" x14ac:dyDescent="0.25">
      <c r="E159" t="s">
        <v>331</v>
      </c>
    </row>
    <row r="160" spans="1:5" x14ac:dyDescent="0.25">
      <c r="E160" t="s">
        <v>332</v>
      </c>
    </row>
    <row r="161" spans="1:5" x14ac:dyDescent="0.25">
      <c r="E161" t="s">
        <v>333</v>
      </c>
    </row>
    <row r="162" spans="1:5" x14ac:dyDescent="0.25">
      <c r="E162" t="s">
        <v>335</v>
      </c>
    </row>
    <row r="163" spans="1:5" x14ac:dyDescent="0.25">
      <c r="E163" t="s">
        <v>334</v>
      </c>
    </row>
    <row r="164" spans="1:5" x14ac:dyDescent="0.25">
      <c r="D164">
        <v>13</v>
      </c>
      <c r="E164" t="s">
        <v>336</v>
      </c>
    </row>
    <row r="165" spans="1:5" x14ac:dyDescent="0.25">
      <c r="D165">
        <v>28</v>
      </c>
      <c r="E165" t="s">
        <v>343</v>
      </c>
    </row>
    <row r="166" spans="1:5" x14ac:dyDescent="0.25">
      <c r="E166" t="s">
        <v>340</v>
      </c>
    </row>
    <row r="167" spans="1:5" x14ac:dyDescent="0.25">
      <c r="D167" t="s">
        <v>449</v>
      </c>
      <c r="E167" t="s">
        <v>344</v>
      </c>
    </row>
    <row r="168" spans="1:5" x14ac:dyDescent="0.25">
      <c r="E168" t="s">
        <v>345</v>
      </c>
    </row>
    <row r="169" spans="1:5" x14ac:dyDescent="0.25">
      <c r="E169" t="s">
        <v>346</v>
      </c>
    </row>
    <row r="170" spans="1:5" x14ac:dyDescent="0.25">
      <c r="D170" t="s">
        <v>450</v>
      </c>
      <c r="E170" s="44" t="s">
        <v>350</v>
      </c>
    </row>
    <row r="171" spans="1:5" x14ac:dyDescent="0.25">
      <c r="E171" s="44" t="s">
        <v>348</v>
      </c>
    </row>
    <row r="172" spans="1:5" x14ac:dyDescent="0.25">
      <c r="E172" s="44" t="s">
        <v>349</v>
      </c>
    </row>
    <row r="173" spans="1:5" x14ac:dyDescent="0.25">
      <c r="D173" t="s">
        <v>451</v>
      </c>
      <c r="E173" s="44" t="s">
        <v>352</v>
      </c>
    </row>
    <row r="174" spans="1:5" x14ac:dyDescent="0.25">
      <c r="E174" s="44" t="s">
        <v>351</v>
      </c>
    </row>
    <row r="175" spans="1:5" x14ac:dyDescent="0.25">
      <c r="E175" s="44" t="s">
        <v>353</v>
      </c>
    </row>
    <row r="176" spans="1:5" x14ac:dyDescent="0.25">
      <c r="A176" s="41">
        <v>32</v>
      </c>
      <c r="B176" s="41" t="s">
        <v>338</v>
      </c>
      <c r="C176" t="s">
        <v>354</v>
      </c>
      <c r="E176" s="60" t="s">
        <v>355</v>
      </c>
    </row>
    <row r="177" spans="1:5" x14ac:dyDescent="0.25">
      <c r="E177" t="s">
        <v>341</v>
      </c>
    </row>
    <row r="178" spans="1:5" x14ac:dyDescent="0.25">
      <c r="D178">
        <v>8</v>
      </c>
      <c r="E178" t="s">
        <v>356</v>
      </c>
    </row>
    <row r="179" spans="1:5" x14ac:dyDescent="0.25">
      <c r="A179" s="41">
        <v>33</v>
      </c>
      <c r="B179" s="41" t="s">
        <v>342</v>
      </c>
      <c r="C179" t="s">
        <v>247</v>
      </c>
      <c r="E179" s="15" t="s">
        <v>362</v>
      </c>
    </row>
    <row r="180" spans="1:5" x14ac:dyDescent="0.25">
      <c r="D180">
        <v>8</v>
      </c>
      <c r="E180" t="s">
        <v>357</v>
      </c>
    </row>
    <row r="181" spans="1:5" x14ac:dyDescent="0.25">
      <c r="E181" t="s">
        <v>360</v>
      </c>
    </row>
    <row r="182" spans="1:5" x14ac:dyDescent="0.25">
      <c r="E182" t="s">
        <v>358</v>
      </c>
    </row>
    <row r="183" spans="1:5" x14ac:dyDescent="0.25">
      <c r="E183" t="s">
        <v>359</v>
      </c>
    </row>
    <row r="184" spans="1:5" x14ac:dyDescent="0.25">
      <c r="A184" s="41">
        <v>34</v>
      </c>
      <c r="B184" s="41" t="s">
        <v>361</v>
      </c>
      <c r="C184" t="s">
        <v>278</v>
      </c>
      <c r="E184" s="15" t="s">
        <v>363</v>
      </c>
    </row>
    <row r="185" spans="1:5" x14ac:dyDescent="0.25">
      <c r="D185">
        <v>8</v>
      </c>
      <c r="E185" t="s">
        <v>364</v>
      </c>
    </row>
    <row r="186" spans="1:5" x14ac:dyDescent="0.25">
      <c r="E186" t="s">
        <v>367</v>
      </c>
    </row>
    <row r="187" spans="1:5" x14ac:dyDescent="0.25">
      <c r="A187" s="41">
        <v>35</v>
      </c>
      <c r="B187" s="41" t="s">
        <v>365</v>
      </c>
      <c r="C187" t="s">
        <v>26</v>
      </c>
      <c r="E187" s="15" t="s">
        <v>59</v>
      </c>
    </row>
    <row r="188" spans="1:5" x14ac:dyDescent="0.25">
      <c r="D188">
        <v>8</v>
      </c>
      <c r="E188" t="s">
        <v>366</v>
      </c>
    </row>
    <row r="189" spans="1:5" x14ac:dyDescent="0.25">
      <c r="E189" t="s">
        <v>368</v>
      </c>
    </row>
    <row r="190" spans="1:5" x14ac:dyDescent="0.25">
      <c r="A190" s="41">
        <v>36</v>
      </c>
      <c r="B190" s="41" t="s">
        <v>369</v>
      </c>
      <c r="C190" t="s">
        <v>26</v>
      </c>
      <c r="E190" s="15" t="s">
        <v>370</v>
      </c>
    </row>
    <row r="191" spans="1:5" x14ac:dyDescent="0.25">
      <c r="D191">
        <v>8</v>
      </c>
      <c r="E191" t="s">
        <v>377</v>
      </c>
    </row>
    <row r="192" spans="1:5" x14ac:dyDescent="0.25">
      <c r="E192" t="s">
        <v>376</v>
      </c>
    </row>
    <row r="193" spans="1:19" x14ac:dyDescent="0.25">
      <c r="A193" s="41">
        <v>37</v>
      </c>
      <c r="B193" s="41" t="s">
        <v>371</v>
      </c>
      <c r="C193" t="s">
        <v>26</v>
      </c>
      <c r="E193" s="15" t="s">
        <v>235</v>
      </c>
    </row>
    <row r="194" spans="1:19" x14ac:dyDescent="0.25">
      <c r="D194">
        <v>8</v>
      </c>
      <c r="E194" t="s">
        <v>374</v>
      </c>
    </row>
    <row r="195" spans="1:19" x14ac:dyDescent="0.25">
      <c r="E195" t="s">
        <v>375</v>
      </c>
    </row>
    <row r="196" spans="1:19" x14ac:dyDescent="0.25">
      <c r="A196" s="41">
        <v>38</v>
      </c>
      <c r="B196" s="41" t="s">
        <v>378</v>
      </c>
      <c r="C196" t="s">
        <v>26</v>
      </c>
      <c r="E196" s="15" t="s">
        <v>379</v>
      </c>
    </row>
    <row r="197" spans="1:19" x14ac:dyDescent="0.25">
      <c r="D197">
        <v>8</v>
      </c>
      <c r="E197" t="s">
        <v>382</v>
      </c>
    </row>
    <row r="198" spans="1:19" x14ac:dyDescent="0.25">
      <c r="D198">
        <v>51</v>
      </c>
      <c r="E198" t="s">
        <v>380</v>
      </c>
    </row>
    <row r="199" spans="1:19" x14ac:dyDescent="0.25">
      <c r="E199" t="s">
        <v>383</v>
      </c>
    </row>
    <row r="200" spans="1:19" x14ac:dyDescent="0.25">
      <c r="A200" s="41">
        <v>39</v>
      </c>
      <c r="B200" s="41" t="s">
        <v>384</v>
      </c>
      <c r="E200" s="62" t="s">
        <v>412</v>
      </c>
    </row>
    <row r="201" spans="1:19" x14ac:dyDescent="0.25">
      <c r="E201" s="15" t="s">
        <v>386</v>
      </c>
    </row>
    <row r="202" spans="1:19" x14ac:dyDescent="0.25">
      <c r="E202" t="s">
        <v>387</v>
      </c>
    </row>
    <row r="203" spans="1:19" x14ac:dyDescent="0.25">
      <c r="E203" t="s">
        <v>389</v>
      </c>
      <c r="J203" t="s">
        <v>388</v>
      </c>
      <c r="O203" s="61" t="s">
        <v>390</v>
      </c>
      <c r="P203" s="61"/>
      <c r="Q203" s="15"/>
      <c r="S203" t="s">
        <v>385</v>
      </c>
    </row>
    <row r="204" spans="1:19" x14ac:dyDescent="0.25">
      <c r="E204" t="s">
        <v>391</v>
      </c>
    </row>
    <row r="205" spans="1:19" x14ac:dyDescent="0.25">
      <c r="E205" t="s">
        <v>392</v>
      </c>
    </row>
    <row r="206" spans="1:19" x14ac:dyDescent="0.25">
      <c r="A206" s="41">
        <v>40</v>
      </c>
      <c r="B206" s="41" t="s">
        <v>393</v>
      </c>
      <c r="E206" s="15" t="s">
        <v>394</v>
      </c>
    </row>
    <row r="207" spans="1:19" x14ac:dyDescent="0.25">
      <c r="E207" t="s">
        <v>395</v>
      </c>
    </row>
    <row r="208" spans="1:19" x14ac:dyDescent="0.25">
      <c r="E208" t="s">
        <v>396</v>
      </c>
    </row>
    <row r="209" spans="1:8" x14ac:dyDescent="0.25">
      <c r="E209" t="s">
        <v>397</v>
      </c>
    </row>
    <row r="210" spans="1:8" x14ac:dyDescent="0.25">
      <c r="F210" t="s">
        <v>398</v>
      </c>
    </row>
    <row r="211" spans="1:8" x14ac:dyDescent="0.25">
      <c r="G211" t="s">
        <v>399</v>
      </c>
    </row>
    <row r="212" spans="1:8" x14ac:dyDescent="0.25">
      <c r="H212" t="s">
        <v>400</v>
      </c>
    </row>
    <row r="213" spans="1:8" x14ac:dyDescent="0.25">
      <c r="E213" t="s">
        <v>401</v>
      </c>
    </row>
    <row r="214" spans="1:8" x14ac:dyDescent="0.25">
      <c r="A214" s="41">
        <v>41</v>
      </c>
      <c r="B214" s="41" t="s">
        <v>402</v>
      </c>
      <c r="C214" t="s">
        <v>354</v>
      </c>
      <c r="E214" s="15" t="s">
        <v>403</v>
      </c>
    </row>
    <row r="215" spans="1:8" x14ac:dyDescent="0.25">
      <c r="D215">
        <v>8</v>
      </c>
      <c r="E215" t="s">
        <v>373</v>
      </c>
    </row>
    <row r="216" spans="1:8" x14ac:dyDescent="0.25">
      <c r="E216" t="s">
        <v>404</v>
      </c>
    </row>
    <row r="217" spans="1:8" x14ac:dyDescent="0.25">
      <c r="A217" s="41">
        <v>42</v>
      </c>
      <c r="B217" s="41" t="s">
        <v>405</v>
      </c>
      <c r="C217" t="s">
        <v>26</v>
      </c>
      <c r="E217" s="15" t="s">
        <v>406</v>
      </c>
    </row>
    <row r="218" spans="1:8" x14ac:dyDescent="0.25">
      <c r="D218">
        <v>8</v>
      </c>
      <c r="E218" t="s">
        <v>373</v>
      </c>
    </row>
    <row r="219" spans="1:8" x14ac:dyDescent="0.25">
      <c r="E219" t="s">
        <v>407</v>
      </c>
    </row>
    <row r="220" spans="1:8" x14ac:dyDescent="0.25">
      <c r="A220" s="41">
        <v>43</v>
      </c>
      <c r="B220" s="41" t="s">
        <v>408</v>
      </c>
      <c r="C220" t="s">
        <v>26</v>
      </c>
      <c r="E220" s="15" t="s">
        <v>409</v>
      </c>
    </row>
    <row r="221" spans="1:8" x14ac:dyDescent="0.25">
      <c r="D221">
        <v>8</v>
      </c>
      <c r="E221" t="s">
        <v>373</v>
      </c>
    </row>
    <row r="222" spans="1:8" x14ac:dyDescent="0.25">
      <c r="E222" t="s">
        <v>410</v>
      </c>
    </row>
    <row r="223" spans="1:8" x14ac:dyDescent="0.25">
      <c r="A223" s="41">
        <v>44</v>
      </c>
      <c r="B223" s="41" t="s">
        <v>413</v>
      </c>
      <c r="C223" t="s">
        <v>26</v>
      </c>
      <c r="E223" s="15" t="s">
        <v>414</v>
      </c>
    </row>
    <row r="224" spans="1:8" x14ac:dyDescent="0.25">
      <c r="D224">
        <v>8</v>
      </c>
      <c r="E224" t="s">
        <v>373</v>
      </c>
    </row>
    <row r="225" spans="1:7" x14ac:dyDescent="0.25">
      <c r="E225" t="s">
        <v>415</v>
      </c>
    </row>
    <row r="226" spans="1:7" x14ac:dyDescent="0.25">
      <c r="A226" s="41">
        <v>45</v>
      </c>
      <c r="B226" s="41" t="s">
        <v>416</v>
      </c>
      <c r="C226" t="s">
        <v>26</v>
      </c>
      <c r="E226" s="15" t="s">
        <v>417</v>
      </c>
    </row>
    <row r="227" spans="1:7" x14ac:dyDescent="0.25">
      <c r="D227">
        <v>8</v>
      </c>
      <c r="E227" t="s">
        <v>373</v>
      </c>
    </row>
    <row r="228" spans="1:7" x14ac:dyDescent="0.25">
      <c r="E228" t="s">
        <v>285</v>
      </c>
    </row>
    <row r="229" spans="1:7" x14ac:dyDescent="0.25">
      <c r="E229" t="s">
        <v>418</v>
      </c>
    </row>
    <row r="230" spans="1:7" x14ac:dyDescent="0.25">
      <c r="A230" s="41">
        <v>47</v>
      </c>
      <c r="B230" s="41" t="s">
        <v>419</v>
      </c>
      <c r="C230" t="s">
        <v>24</v>
      </c>
      <c r="E230" s="15" t="s">
        <v>420</v>
      </c>
    </row>
    <row r="231" spans="1:7" x14ac:dyDescent="0.25">
      <c r="A231" s="41">
        <v>48</v>
      </c>
      <c r="B231" s="41" t="s">
        <v>421</v>
      </c>
      <c r="C231" t="s">
        <v>25</v>
      </c>
      <c r="E231" t="s">
        <v>422</v>
      </c>
    </row>
    <row r="232" spans="1:7" x14ac:dyDescent="0.25">
      <c r="E232" t="s">
        <v>423</v>
      </c>
    </row>
    <row r="233" spans="1:7" x14ac:dyDescent="0.25">
      <c r="A233" s="41">
        <v>49</v>
      </c>
      <c r="B233" s="41" t="s">
        <v>424</v>
      </c>
      <c r="C233" t="s">
        <v>25</v>
      </c>
      <c r="E233" s="15" t="s">
        <v>425</v>
      </c>
    </row>
    <row r="234" spans="1:7" x14ac:dyDescent="0.25">
      <c r="E234" t="s">
        <v>426</v>
      </c>
    </row>
    <row r="235" spans="1:7" x14ac:dyDescent="0.25">
      <c r="E235" t="s">
        <v>427</v>
      </c>
    </row>
    <row r="236" spans="1:7" x14ac:dyDescent="0.25">
      <c r="E236" t="s">
        <v>428</v>
      </c>
    </row>
    <row r="237" spans="1:7" x14ac:dyDescent="0.25">
      <c r="A237" s="41">
        <v>50</v>
      </c>
      <c r="B237" s="41" t="s">
        <v>429</v>
      </c>
      <c r="C237" t="s">
        <v>25</v>
      </c>
      <c r="E237" s="15" t="s">
        <v>430</v>
      </c>
    </row>
    <row r="238" spans="1:7" x14ac:dyDescent="0.25">
      <c r="E238" t="s">
        <v>431</v>
      </c>
      <c r="G238" t="s">
        <v>433</v>
      </c>
    </row>
    <row r="239" spans="1:7" x14ac:dyDescent="0.25">
      <c r="E239" t="s">
        <v>432</v>
      </c>
    </row>
    <row r="240" spans="1:7" x14ac:dyDescent="0.25">
      <c r="A240" s="41">
        <v>51</v>
      </c>
      <c r="B240" s="41" t="s">
        <v>434</v>
      </c>
      <c r="C240" t="s">
        <v>25</v>
      </c>
      <c r="E240" s="15" t="s">
        <v>436</v>
      </c>
    </row>
    <row r="241" spans="5:5" x14ac:dyDescent="0.25">
      <c r="E241" t="s">
        <v>435</v>
      </c>
    </row>
    <row r="242" spans="5:5" x14ac:dyDescent="0.25">
      <c r="E242" t="s">
        <v>452</v>
      </c>
    </row>
    <row r="243" spans="5:5" x14ac:dyDescent="0.25">
      <c r="E243" t="s">
        <v>437</v>
      </c>
    </row>
    <row r="244" spans="5:5" x14ac:dyDescent="0.25">
      <c r="E244" t="s">
        <v>453</v>
      </c>
    </row>
  </sheetData>
  <hyperlinks>
    <hyperlink ref="E39" r:id="rId1" xr:uid="{00000000-0004-0000-02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I122"/>
  <sheetViews>
    <sheetView tabSelected="1" topLeftCell="Z35" zoomScale="90" zoomScaleNormal="90" workbookViewId="0">
      <selection activeCell="AC59" sqref="AC59"/>
    </sheetView>
  </sheetViews>
  <sheetFormatPr defaultRowHeight="15" x14ac:dyDescent="0.25"/>
  <sheetData>
    <row r="2" spans="2:8" x14ac:dyDescent="0.25">
      <c r="B2" t="s">
        <v>512</v>
      </c>
    </row>
    <row r="5" spans="2:8" x14ac:dyDescent="0.25">
      <c r="B5">
        <v>693.5</v>
      </c>
      <c r="C5" t="s">
        <v>454</v>
      </c>
    </row>
    <row r="6" spans="2:8" x14ac:dyDescent="0.25">
      <c r="G6" t="s">
        <v>465</v>
      </c>
      <c r="H6">
        <v>13</v>
      </c>
    </row>
    <row r="7" spans="2:8" x14ac:dyDescent="0.25">
      <c r="B7">
        <v>63.4</v>
      </c>
      <c r="C7" t="s">
        <v>455</v>
      </c>
      <c r="G7" s="17" t="s">
        <v>458</v>
      </c>
      <c r="H7">
        <v>50</v>
      </c>
    </row>
    <row r="8" spans="2:8" x14ac:dyDescent="0.25">
      <c r="B8">
        <v>29</v>
      </c>
      <c r="C8" t="s">
        <v>456</v>
      </c>
      <c r="G8" s="17" t="s">
        <v>457</v>
      </c>
      <c r="H8">
        <v>59.6</v>
      </c>
    </row>
    <row r="9" spans="2:8" x14ac:dyDescent="0.25">
      <c r="B9">
        <f>B7+B8</f>
        <v>92.4</v>
      </c>
      <c r="G9" s="17" t="s">
        <v>459</v>
      </c>
      <c r="H9">
        <v>26.4</v>
      </c>
    </row>
    <row r="10" spans="2:8" x14ac:dyDescent="0.25">
      <c r="B10">
        <v>152</v>
      </c>
      <c r="C10">
        <f>B10-B9</f>
        <v>59.599999999999994</v>
      </c>
      <c r="G10" t="s">
        <v>460</v>
      </c>
      <c r="H10">
        <v>2.6</v>
      </c>
    </row>
    <row r="11" spans="2:8" x14ac:dyDescent="0.25">
      <c r="E11" t="s">
        <v>464</v>
      </c>
    </row>
    <row r="12" spans="2:8" x14ac:dyDescent="0.25">
      <c r="B12">
        <f>B10/B5</f>
        <v>0.21917808219178081</v>
      </c>
      <c r="E12" s="17" t="s">
        <v>461</v>
      </c>
      <c r="F12">
        <v>15</v>
      </c>
      <c r="H12">
        <v>63.4</v>
      </c>
    </row>
    <row r="13" spans="2:8" x14ac:dyDescent="0.25">
      <c r="E13" s="17" t="s">
        <v>463</v>
      </c>
      <c r="F13">
        <v>0</v>
      </c>
      <c r="H13">
        <v>61</v>
      </c>
    </row>
    <row r="14" spans="2:8" x14ac:dyDescent="0.25">
      <c r="E14" s="17" t="s">
        <v>462</v>
      </c>
      <c r="F14">
        <v>3.5</v>
      </c>
      <c r="H14">
        <v>29</v>
      </c>
    </row>
    <row r="20" spans="2:12" x14ac:dyDescent="0.25">
      <c r="F20">
        <v>0.51600000000000001</v>
      </c>
    </row>
    <row r="21" spans="2:12" x14ac:dyDescent="0.25">
      <c r="F21">
        <v>0.4</v>
      </c>
      <c r="J21" t="s">
        <v>514</v>
      </c>
    </row>
    <row r="22" spans="2:12" x14ac:dyDescent="0.25">
      <c r="B22" t="s">
        <v>72</v>
      </c>
      <c r="C22" s="31">
        <v>418</v>
      </c>
      <c r="D22" s="1">
        <f>F22*1000</f>
        <v>380</v>
      </c>
      <c r="F22">
        <v>0.38</v>
      </c>
      <c r="I22" t="s">
        <v>469</v>
      </c>
      <c r="J22" t="s">
        <v>468</v>
      </c>
    </row>
    <row r="23" spans="2:12" x14ac:dyDescent="0.25">
      <c r="B23" t="s">
        <v>73</v>
      </c>
      <c r="C23" s="31">
        <v>300</v>
      </c>
      <c r="D23" s="1">
        <f>F23*1000</f>
        <v>370</v>
      </c>
      <c r="F23">
        <v>0.37</v>
      </c>
      <c r="H23" t="s">
        <v>470</v>
      </c>
      <c r="I23" s="31">
        <v>341</v>
      </c>
      <c r="J23">
        <v>40</v>
      </c>
      <c r="K23" s="31">
        <f>I23*J23/100</f>
        <v>136.4</v>
      </c>
      <c r="L23" s="1">
        <v>17000</v>
      </c>
    </row>
    <row r="24" spans="2:12" x14ac:dyDescent="0.25">
      <c r="B24" t="s">
        <v>74</v>
      </c>
      <c r="F24">
        <v>1.05</v>
      </c>
      <c r="H24" t="s">
        <v>92</v>
      </c>
      <c r="I24" s="31">
        <v>1142</v>
      </c>
      <c r="J24">
        <v>40</v>
      </c>
      <c r="K24" s="31">
        <f t="shared" ref="K24:K48" si="0">I24*J24/100</f>
        <v>456.8</v>
      </c>
      <c r="L24" s="1">
        <v>16000</v>
      </c>
    </row>
    <row r="25" spans="2:12" x14ac:dyDescent="0.25">
      <c r="F25">
        <v>0.1</v>
      </c>
      <c r="H25" t="s">
        <v>91</v>
      </c>
      <c r="I25" s="31">
        <v>14177</v>
      </c>
      <c r="J25">
        <v>13</v>
      </c>
      <c r="K25" s="31">
        <f t="shared" si="0"/>
        <v>1843.01</v>
      </c>
      <c r="L25" s="1">
        <f>F41*1000</f>
        <v>10370</v>
      </c>
    </row>
    <row r="26" spans="2:12" x14ac:dyDescent="0.25">
      <c r="F26">
        <v>0.23</v>
      </c>
      <c r="H26" t="s">
        <v>96</v>
      </c>
      <c r="I26" s="31">
        <v>718.4</v>
      </c>
      <c r="J26">
        <v>50</v>
      </c>
      <c r="K26" s="31">
        <f t="shared" si="0"/>
        <v>359.2</v>
      </c>
      <c r="L26" s="1">
        <v>5200</v>
      </c>
    </row>
    <row r="27" spans="2:12" x14ac:dyDescent="0.25">
      <c r="F27">
        <v>0.51</v>
      </c>
      <c r="H27" t="s">
        <v>94</v>
      </c>
      <c r="I27" s="31">
        <v>1559</v>
      </c>
      <c r="J27">
        <v>50</v>
      </c>
      <c r="K27" s="31">
        <f t="shared" si="0"/>
        <v>779.5</v>
      </c>
      <c r="L27" s="1">
        <v>4500</v>
      </c>
    </row>
    <row r="28" spans="2:12" x14ac:dyDescent="0.25">
      <c r="F28">
        <v>0.51</v>
      </c>
      <c r="H28" t="s">
        <v>95</v>
      </c>
      <c r="I28" s="31">
        <v>1693</v>
      </c>
      <c r="J28">
        <v>50</v>
      </c>
      <c r="K28" s="31">
        <f t="shared" si="0"/>
        <v>846.5</v>
      </c>
      <c r="L28" s="1">
        <v>4200</v>
      </c>
    </row>
    <row r="29" spans="2:12" x14ac:dyDescent="0.25">
      <c r="F29" s="14">
        <v>0.5</v>
      </c>
      <c r="H29" t="s">
        <v>98</v>
      </c>
      <c r="I29" s="31">
        <v>171</v>
      </c>
      <c r="J29">
        <v>50</v>
      </c>
      <c r="K29" s="31">
        <f t="shared" si="0"/>
        <v>85.5</v>
      </c>
      <c r="L29" s="1">
        <f>F48*1000</f>
        <v>4000</v>
      </c>
    </row>
    <row r="30" spans="2:12" x14ac:dyDescent="0.25">
      <c r="F30" s="14">
        <v>0.5</v>
      </c>
      <c r="H30" t="s">
        <v>97</v>
      </c>
      <c r="I30" s="31">
        <v>522</v>
      </c>
      <c r="J30">
        <v>50</v>
      </c>
      <c r="K30">
        <f t="shared" si="0"/>
        <v>261</v>
      </c>
      <c r="L30" s="1">
        <f>F47*1000</f>
        <v>4000</v>
      </c>
    </row>
    <row r="31" spans="2:12" x14ac:dyDescent="0.25">
      <c r="F31">
        <v>3.79</v>
      </c>
    </row>
    <row r="32" spans="2:12" x14ac:dyDescent="0.25">
      <c r="B32" s="1" t="s">
        <v>82</v>
      </c>
      <c r="C32" s="31">
        <v>200</v>
      </c>
      <c r="D32" s="1">
        <f>F32*1000</f>
        <v>700</v>
      </c>
      <c r="F32">
        <v>0.7</v>
      </c>
    </row>
    <row r="33" spans="2:35" x14ac:dyDescent="0.25">
      <c r="F33" s="1">
        <v>0.8</v>
      </c>
    </row>
    <row r="34" spans="2:35" x14ac:dyDescent="0.25">
      <c r="F34" s="1">
        <v>3.5</v>
      </c>
      <c r="H34" t="s">
        <v>467</v>
      </c>
      <c r="I34" s="31">
        <v>281</v>
      </c>
      <c r="J34">
        <v>80</v>
      </c>
      <c r="K34" s="31">
        <f t="shared" si="0"/>
        <v>224.8</v>
      </c>
      <c r="L34" s="1">
        <f>F28*1000</f>
        <v>510</v>
      </c>
    </row>
    <row r="35" spans="2:35" x14ac:dyDescent="0.25">
      <c r="B35" t="s">
        <v>85</v>
      </c>
      <c r="C35" s="31">
        <v>400</v>
      </c>
      <c r="D35" s="1">
        <f>F35*1000</f>
        <v>870</v>
      </c>
      <c r="F35" s="1">
        <v>0.87</v>
      </c>
      <c r="H35" t="s">
        <v>87</v>
      </c>
      <c r="I35" s="31">
        <v>614</v>
      </c>
      <c r="J35">
        <v>98</v>
      </c>
      <c r="K35" s="31">
        <f t="shared" si="0"/>
        <v>601.72</v>
      </c>
      <c r="L35" s="1">
        <f>F37*1000</f>
        <v>880</v>
      </c>
    </row>
    <row r="36" spans="2:35" x14ac:dyDescent="0.25">
      <c r="F36">
        <v>0.45</v>
      </c>
      <c r="H36" t="s">
        <v>86</v>
      </c>
      <c r="I36" s="31">
        <v>668</v>
      </c>
      <c r="J36">
        <v>60</v>
      </c>
      <c r="K36" s="31">
        <f t="shared" si="0"/>
        <v>400.8</v>
      </c>
      <c r="L36" s="1">
        <f>F36*1000</f>
        <v>450</v>
      </c>
      <c r="AF36" t="s">
        <v>470</v>
      </c>
      <c r="AG36" s="31">
        <v>136.4</v>
      </c>
      <c r="AI36">
        <v>17000</v>
      </c>
    </row>
    <row r="37" spans="2:35" x14ac:dyDescent="0.25">
      <c r="F37" s="1">
        <v>0.88</v>
      </c>
      <c r="H37" t="s">
        <v>84</v>
      </c>
      <c r="I37" s="31">
        <v>700</v>
      </c>
      <c r="J37">
        <v>85</v>
      </c>
      <c r="K37" s="31">
        <f t="shared" si="0"/>
        <v>595</v>
      </c>
      <c r="L37">
        <v>3500</v>
      </c>
      <c r="AF37" t="s">
        <v>92</v>
      </c>
      <c r="AG37" s="31">
        <v>456.8</v>
      </c>
      <c r="AI37">
        <v>16000</v>
      </c>
    </row>
    <row r="38" spans="2:35" x14ac:dyDescent="0.25">
      <c r="F38" s="1">
        <v>0.09</v>
      </c>
      <c r="H38" t="s">
        <v>73</v>
      </c>
      <c r="I38" s="31">
        <v>718</v>
      </c>
      <c r="J38">
        <v>80</v>
      </c>
      <c r="K38" s="31">
        <f t="shared" si="0"/>
        <v>574.4</v>
      </c>
      <c r="L38">
        <v>380</v>
      </c>
      <c r="AF38" t="s">
        <v>516</v>
      </c>
      <c r="AG38" s="31">
        <v>488</v>
      </c>
      <c r="AI38">
        <v>7000</v>
      </c>
    </row>
    <row r="39" spans="2:35" x14ac:dyDescent="0.25">
      <c r="B39" t="s">
        <v>89</v>
      </c>
      <c r="C39" s="31">
        <v>125</v>
      </c>
      <c r="D39" s="1">
        <f>F39*1000</f>
        <v>5000</v>
      </c>
      <c r="F39" s="1">
        <v>5</v>
      </c>
      <c r="H39" t="s">
        <v>83</v>
      </c>
      <c r="I39" s="31">
        <v>805</v>
      </c>
      <c r="J39">
        <v>95</v>
      </c>
      <c r="K39" s="31">
        <f t="shared" si="0"/>
        <v>764.75</v>
      </c>
      <c r="L39" s="1">
        <f>F33*1000</f>
        <v>800</v>
      </c>
      <c r="AF39" t="s">
        <v>96</v>
      </c>
      <c r="AG39" s="31">
        <v>359.2</v>
      </c>
      <c r="AI39">
        <v>5200</v>
      </c>
    </row>
    <row r="40" spans="2:35" x14ac:dyDescent="0.25">
      <c r="B40" s="1" t="s">
        <v>90</v>
      </c>
      <c r="C40" s="31">
        <v>500</v>
      </c>
      <c r="D40" s="1">
        <f>F40*1000</f>
        <v>800</v>
      </c>
      <c r="F40" s="1">
        <v>0.8</v>
      </c>
      <c r="H40" t="s">
        <v>71</v>
      </c>
      <c r="I40" s="31">
        <v>1769</v>
      </c>
      <c r="J40">
        <v>85</v>
      </c>
      <c r="K40" s="31">
        <f t="shared" si="0"/>
        <v>1503.65</v>
      </c>
      <c r="L40" s="1">
        <f>F21*1000</f>
        <v>400</v>
      </c>
      <c r="AF40" t="s">
        <v>94</v>
      </c>
      <c r="AG40" s="31">
        <v>779.5</v>
      </c>
      <c r="AI40">
        <v>4500</v>
      </c>
    </row>
    <row r="41" spans="2:35" x14ac:dyDescent="0.25">
      <c r="F41" s="26">
        <v>10.37</v>
      </c>
      <c r="H41" t="s">
        <v>466</v>
      </c>
      <c r="I41" s="31">
        <v>1958</v>
      </c>
      <c r="J41">
        <v>90</v>
      </c>
      <c r="K41" s="31">
        <f t="shared" si="0"/>
        <v>1762.2</v>
      </c>
      <c r="L41" s="1">
        <f>F24*1000</f>
        <v>1050</v>
      </c>
      <c r="AF41" t="s">
        <v>95</v>
      </c>
      <c r="AG41" s="31">
        <v>846.5</v>
      </c>
      <c r="AI41">
        <v>4200</v>
      </c>
    </row>
    <row r="42" spans="2:35" x14ac:dyDescent="0.25">
      <c r="F42" s="26">
        <v>12.6</v>
      </c>
      <c r="H42" t="s">
        <v>471</v>
      </c>
      <c r="I42" s="31">
        <v>2227</v>
      </c>
      <c r="J42">
        <v>10</v>
      </c>
      <c r="K42" s="31">
        <f t="shared" si="0"/>
        <v>222.7</v>
      </c>
      <c r="L42">
        <v>3500</v>
      </c>
      <c r="AF42" t="s">
        <v>98</v>
      </c>
      <c r="AG42" s="31">
        <v>85.5</v>
      </c>
      <c r="AI42">
        <v>4000</v>
      </c>
    </row>
    <row r="43" spans="2:35" x14ac:dyDescent="0.25">
      <c r="F43" s="26">
        <v>14.6</v>
      </c>
      <c r="H43" t="s">
        <v>80</v>
      </c>
      <c r="I43" s="31">
        <v>4406.7796610169498</v>
      </c>
      <c r="J43">
        <v>11</v>
      </c>
      <c r="K43" s="31">
        <f t="shared" si="0"/>
        <v>484.74576271186453</v>
      </c>
      <c r="L43" s="1">
        <f>F30*1000</f>
        <v>500</v>
      </c>
      <c r="AF43" t="s">
        <v>97</v>
      </c>
      <c r="AG43">
        <v>261</v>
      </c>
      <c r="AI43">
        <v>4000</v>
      </c>
    </row>
    <row r="44" spans="2:35" x14ac:dyDescent="0.25">
      <c r="F44" s="26">
        <v>4.04</v>
      </c>
      <c r="H44" t="s">
        <v>75</v>
      </c>
      <c r="I44" s="31">
        <v>5907.8618181818183</v>
      </c>
      <c r="J44">
        <v>20</v>
      </c>
      <c r="K44" s="31">
        <f t="shared" si="0"/>
        <v>1181.5723636363637</v>
      </c>
      <c r="L44" s="1">
        <f>F25*1000</f>
        <v>100</v>
      </c>
      <c r="M44" t="s">
        <v>494</v>
      </c>
      <c r="N44">
        <v>1575</v>
      </c>
      <c r="AF44" t="s">
        <v>515</v>
      </c>
      <c r="AG44" s="31">
        <v>1086</v>
      </c>
      <c r="AI44">
        <v>1300</v>
      </c>
    </row>
    <row r="45" spans="2:35" x14ac:dyDescent="0.25">
      <c r="F45" s="26">
        <v>2.79</v>
      </c>
      <c r="H45" t="s">
        <v>76</v>
      </c>
      <c r="I45" s="31">
        <v>6722.5476190476193</v>
      </c>
      <c r="J45">
        <v>80</v>
      </c>
      <c r="K45" s="31">
        <f t="shared" si="0"/>
        <v>5378.0380952380956</v>
      </c>
      <c r="L45" s="1">
        <f>F26*1000</f>
        <v>230</v>
      </c>
      <c r="M45" t="s">
        <v>495</v>
      </c>
      <c r="N45">
        <v>1888</v>
      </c>
    </row>
    <row r="46" spans="2:35" x14ac:dyDescent="0.25">
      <c r="F46" s="26">
        <v>2.96</v>
      </c>
      <c r="H46" t="s">
        <v>70</v>
      </c>
      <c r="I46" s="31">
        <v>7628.5</v>
      </c>
      <c r="J46">
        <v>85</v>
      </c>
      <c r="K46" s="31">
        <f t="shared" si="0"/>
        <v>6484.2250000000004</v>
      </c>
      <c r="L46" s="1">
        <f>F20*1000</f>
        <v>516</v>
      </c>
      <c r="M46" t="s">
        <v>79</v>
      </c>
      <c r="N46">
        <v>536</v>
      </c>
      <c r="AF46" t="s">
        <v>467</v>
      </c>
      <c r="AG46" s="31">
        <v>224.8</v>
      </c>
      <c r="AI46">
        <v>510</v>
      </c>
    </row>
    <row r="47" spans="2:35" x14ac:dyDescent="0.25">
      <c r="F47" s="26">
        <v>4</v>
      </c>
      <c r="H47" t="s">
        <v>88</v>
      </c>
      <c r="I47" s="31">
        <v>7678.8</v>
      </c>
      <c r="J47">
        <v>80</v>
      </c>
      <c r="K47" s="31">
        <f t="shared" si="0"/>
        <v>6143.04</v>
      </c>
      <c r="L47" s="1">
        <f>F38*1000</f>
        <v>90</v>
      </c>
      <c r="M47" t="s">
        <v>467</v>
      </c>
      <c r="N47">
        <v>156</v>
      </c>
      <c r="AF47" t="s">
        <v>471</v>
      </c>
      <c r="AG47" s="31">
        <v>222.7</v>
      </c>
      <c r="AI47">
        <v>3500</v>
      </c>
    </row>
    <row r="48" spans="2:35" x14ac:dyDescent="0.25">
      <c r="F48" s="26">
        <v>4</v>
      </c>
      <c r="H48" t="s">
        <v>79</v>
      </c>
      <c r="I48" s="31">
        <v>8915</v>
      </c>
      <c r="J48">
        <v>10</v>
      </c>
      <c r="K48" s="31">
        <f t="shared" si="0"/>
        <v>891.5</v>
      </c>
      <c r="L48" s="1">
        <f>F29*1000</f>
        <v>500</v>
      </c>
      <c r="M48" t="s">
        <v>466</v>
      </c>
      <c r="N48">
        <v>218</v>
      </c>
      <c r="P48">
        <v>3363</v>
      </c>
      <c r="AF48" t="s">
        <v>73</v>
      </c>
      <c r="AG48" s="31">
        <v>574.4</v>
      </c>
      <c r="AI48">
        <v>380</v>
      </c>
    </row>
    <row r="49" spans="2:35" x14ac:dyDescent="0.25">
      <c r="E49" s="26">
        <v>3.5</v>
      </c>
      <c r="M49" t="s">
        <v>496</v>
      </c>
      <c r="N49">
        <v>1211</v>
      </c>
      <c r="P49">
        <v>1750</v>
      </c>
      <c r="Q49">
        <f>SUM(P48:P49)</f>
        <v>5113</v>
      </c>
      <c r="AF49" t="s">
        <v>84</v>
      </c>
      <c r="AG49" s="31">
        <v>595</v>
      </c>
      <c r="AI49">
        <v>3500</v>
      </c>
    </row>
    <row r="50" spans="2:35" x14ac:dyDescent="0.25">
      <c r="C50" t="s">
        <v>25</v>
      </c>
      <c r="D50" t="s">
        <v>498</v>
      </c>
      <c r="E50" s="26">
        <v>4</v>
      </c>
      <c r="H50" t="s">
        <v>81</v>
      </c>
      <c r="I50" s="31">
        <v>2277</v>
      </c>
      <c r="L50" s="1">
        <f>F31*1000</f>
        <v>3790</v>
      </c>
      <c r="M50" t="s">
        <v>497</v>
      </c>
      <c r="N50">
        <v>2839</v>
      </c>
      <c r="Q50">
        <f>SUM(N50+Q49)</f>
        <v>7952</v>
      </c>
      <c r="R50">
        <v>7984</v>
      </c>
      <c r="AF50" t="s">
        <v>87</v>
      </c>
      <c r="AG50" s="31">
        <v>601.72</v>
      </c>
      <c r="AI50">
        <v>880</v>
      </c>
    </row>
    <row r="51" spans="2:35" x14ac:dyDescent="0.25">
      <c r="E51" s="26"/>
      <c r="H51" t="s">
        <v>84</v>
      </c>
      <c r="I51" s="31">
        <v>641</v>
      </c>
      <c r="L51" s="1">
        <f>F34*1000</f>
        <v>3500</v>
      </c>
      <c r="AF51" t="s">
        <v>80</v>
      </c>
      <c r="AG51" s="31">
        <v>484.74576271186453</v>
      </c>
      <c r="AI51">
        <v>500</v>
      </c>
    </row>
    <row r="52" spans="2:35" x14ac:dyDescent="0.25">
      <c r="AF52" t="s">
        <v>86</v>
      </c>
      <c r="AG52" s="31">
        <v>400.8</v>
      </c>
      <c r="AI52">
        <v>450</v>
      </c>
    </row>
    <row r="53" spans="2:35" x14ac:dyDescent="0.25">
      <c r="AF53" t="s">
        <v>83</v>
      </c>
      <c r="AG53" s="31">
        <v>764.75</v>
      </c>
      <c r="AI53">
        <v>800</v>
      </c>
    </row>
    <row r="54" spans="2:35" x14ac:dyDescent="0.25">
      <c r="B54" t="s">
        <v>73</v>
      </c>
      <c r="C54" s="31">
        <v>147</v>
      </c>
      <c r="D54" s="31">
        <v>300</v>
      </c>
      <c r="AF54" t="s">
        <v>79</v>
      </c>
      <c r="AG54" s="31">
        <v>891.5</v>
      </c>
      <c r="AI54">
        <v>500</v>
      </c>
    </row>
    <row r="55" spans="2:35" x14ac:dyDescent="0.25">
      <c r="AF55" t="s">
        <v>75</v>
      </c>
      <c r="AG55" s="31">
        <v>1181.5723636363637</v>
      </c>
      <c r="AI55">
        <v>100</v>
      </c>
    </row>
    <row r="56" spans="2:35" x14ac:dyDescent="0.25">
      <c r="AF56" t="s">
        <v>71</v>
      </c>
      <c r="AG56" s="31">
        <v>1503.65</v>
      </c>
      <c r="AI56">
        <v>400</v>
      </c>
    </row>
    <row r="57" spans="2:35" x14ac:dyDescent="0.25">
      <c r="AF57" t="s">
        <v>466</v>
      </c>
      <c r="AG57" s="31">
        <v>1762.2</v>
      </c>
      <c r="AI57">
        <v>1050</v>
      </c>
    </row>
    <row r="58" spans="2:35" x14ac:dyDescent="0.25">
      <c r="B58" t="s">
        <v>77</v>
      </c>
      <c r="C58" s="31">
        <v>73.644000000000005</v>
      </c>
      <c r="D58" s="31">
        <v>144.4</v>
      </c>
      <c r="AF58" t="s">
        <v>76</v>
      </c>
      <c r="AG58" s="31">
        <v>5378.0380952380956</v>
      </c>
      <c r="AI58">
        <v>230</v>
      </c>
    </row>
    <row r="59" spans="2:35" x14ac:dyDescent="0.25">
      <c r="B59" t="s">
        <v>78</v>
      </c>
      <c r="C59" s="31">
        <v>71.91</v>
      </c>
      <c r="D59" s="31">
        <v>141</v>
      </c>
      <c r="AF59" t="s">
        <v>88</v>
      </c>
      <c r="AG59" s="31">
        <v>6143.04</v>
      </c>
      <c r="AI59">
        <v>90</v>
      </c>
    </row>
    <row r="60" spans="2:35" x14ac:dyDescent="0.25">
      <c r="G60" t="s">
        <v>504</v>
      </c>
      <c r="H60" t="s">
        <v>505</v>
      </c>
      <c r="AF60" t="s">
        <v>70</v>
      </c>
      <c r="AG60" s="31">
        <v>6484.2250000000004</v>
      </c>
      <c r="AI60">
        <v>516</v>
      </c>
    </row>
    <row r="61" spans="2:35" x14ac:dyDescent="0.25">
      <c r="F61" t="s">
        <v>79</v>
      </c>
      <c r="G61" s="31">
        <v>8707.5</v>
      </c>
      <c r="H61" s="31">
        <f t="shared" ref="H61:H85" si="1">J61*2</f>
        <v>17830</v>
      </c>
      <c r="J61" s="31">
        <v>8915</v>
      </c>
    </row>
    <row r="62" spans="2:35" x14ac:dyDescent="0.25">
      <c r="F62" t="s">
        <v>88</v>
      </c>
      <c r="G62" s="31">
        <v>767.88</v>
      </c>
      <c r="H62" s="31">
        <f t="shared" si="1"/>
        <v>15357.6</v>
      </c>
      <c r="J62" s="31">
        <v>7678.8</v>
      </c>
      <c r="T62" t="s">
        <v>507</v>
      </c>
      <c r="U62" t="s">
        <v>506</v>
      </c>
      <c r="W62" t="s">
        <v>503</v>
      </c>
    </row>
    <row r="63" spans="2:35" x14ac:dyDescent="0.25">
      <c r="B63" s="1" t="s">
        <v>82</v>
      </c>
      <c r="C63" s="31">
        <v>140</v>
      </c>
      <c r="D63" s="31">
        <v>200</v>
      </c>
      <c r="F63" t="s">
        <v>70</v>
      </c>
      <c r="G63" s="31">
        <v>4261.0259999999998</v>
      </c>
      <c r="H63" s="31">
        <f t="shared" si="1"/>
        <v>15257</v>
      </c>
      <c r="J63" s="31">
        <v>7628.5</v>
      </c>
      <c r="S63" s="17" t="s">
        <v>79</v>
      </c>
      <c r="T63">
        <f>V63*10</f>
        <v>26745</v>
      </c>
      <c r="U63">
        <v>8707.5</v>
      </c>
      <c r="V63" s="25">
        <f>W72*X72/100</f>
        <v>2674.5</v>
      </c>
      <c r="W63">
        <v>26</v>
      </c>
      <c r="X63" s="31">
        <v>9154.1999999999989</v>
      </c>
      <c r="Y63">
        <v>824.57606168674704</v>
      </c>
      <c r="Z63" s="25">
        <f>U63/T63</f>
        <v>0.32557487380818845</v>
      </c>
      <c r="AA63" s="25">
        <f>Y63/V63</f>
        <v>0.30831036144578317</v>
      </c>
    </row>
    <row r="64" spans="2:35" x14ac:dyDescent="0.25">
      <c r="B64" s="1"/>
      <c r="C64" s="31">
        <v>0</v>
      </c>
      <c r="D64" s="31"/>
      <c r="F64" t="s">
        <v>76</v>
      </c>
      <c r="G64" s="31">
        <v>1991.5928571428572</v>
      </c>
      <c r="H64" s="31">
        <f t="shared" si="1"/>
        <v>13445.095238095239</v>
      </c>
      <c r="J64" s="31">
        <v>6722.5476190476193</v>
      </c>
      <c r="S64" s="17" t="s">
        <v>70</v>
      </c>
      <c r="T64">
        <f t="shared" ref="T64:T85" si="2">V64*10</f>
        <v>23800.92</v>
      </c>
      <c r="U64">
        <v>4901.82</v>
      </c>
      <c r="V64" s="25">
        <f>W63*X63/100</f>
        <v>2380.0919999999996</v>
      </c>
      <c r="W64">
        <v>26</v>
      </c>
      <c r="X64" s="31">
        <v>1769</v>
      </c>
      <c r="Y64">
        <v>1142.4000000000001</v>
      </c>
      <c r="Z64" s="25">
        <f t="shared" ref="Z64:Z85" si="3">U64/T64</f>
        <v>0.20595086240363819</v>
      </c>
      <c r="AA64" s="25">
        <f t="shared" ref="AA64:AA85" si="4">Y64/V64</f>
        <v>0.47998144609536114</v>
      </c>
    </row>
    <row r="65" spans="2:29" x14ac:dyDescent="0.25">
      <c r="F65" t="s">
        <v>75</v>
      </c>
      <c r="G65" s="31">
        <v>549.36800000000005</v>
      </c>
      <c r="H65" s="31">
        <f t="shared" si="1"/>
        <v>11815.723636363637</v>
      </c>
      <c r="J65" s="31">
        <v>5907.8618181818183</v>
      </c>
      <c r="S65" s="17" t="s">
        <v>76</v>
      </c>
      <c r="T65">
        <f>V66*10</f>
        <v>15409.8</v>
      </c>
      <c r="U65">
        <v>1477.8142857142859</v>
      </c>
      <c r="V65" s="25">
        <f>W64*X64/100</f>
        <v>459.94</v>
      </c>
      <c r="W65">
        <v>27</v>
      </c>
      <c r="X65" s="31">
        <v>418</v>
      </c>
      <c r="Y65">
        <v>130.99053885854457</v>
      </c>
      <c r="Z65" s="25">
        <f t="shared" si="3"/>
        <v>9.5900938734719859E-2</v>
      </c>
      <c r="AA65" s="25">
        <f t="shared" si="4"/>
        <v>0.28479918871710347</v>
      </c>
      <c r="AB65" t="s">
        <v>70</v>
      </c>
    </row>
    <row r="66" spans="2:29" x14ac:dyDescent="0.25">
      <c r="F66" t="s">
        <v>80</v>
      </c>
      <c r="G66" s="31">
        <v>4913.5593220338997</v>
      </c>
      <c r="H66" s="31">
        <f t="shared" si="1"/>
        <v>8813.5593220338997</v>
      </c>
      <c r="J66" s="31">
        <v>4406.7796610169498</v>
      </c>
      <c r="S66" s="17" t="s">
        <v>80</v>
      </c>
      <c r="T66">
        <f>V67*10</f>
        <v>14542.372881355934</v>
      </c>
      <c r="U66">
        <v>4913.5593220338997</v>
      </c>
      <c r="V66" s="25">
        <f>W69*X69/100</f>
        <v>1540.98</v>
      </c>
      <c r="W66">
        <v>27</v>
      </c>
      <c r="X66" s="31">
        <v>300</v>
      </c>
      <c r="Y66">
        <v>952.64542372881374</v>
      </c>
      <c r="Z66" s="25">
        <f t="shared" si="3"/>
        <v>0.33787878787878795</v>
      </c>
      <c r="AA66" s="25">
        <f t="shared" si="4"/>
        <v>0.61820751971395715</v>
      </c>
      <c r="AB66" t="s">
        <v>71</v>
      </c>
    </row>
    <row r="67" spans="2:29" x14ac:dyDescent="0.25">
      <c r="F67" t="s">
        <v>81</v>
      </c>
      <c r="G67" s="31">
        <v>3400.83</v>
      </c>
      <c r="H67" s="31">
        <f t="shared" si="1"/>
        <v>4554</v>
      </c>
      <c r="J67" s="31">
        <v>2277</v>
      </c>
      <c r="S67" s="17" t="s">
        <v>75</v>
      </c>
      <c r="T67">
        <f>V68*10</f>
        <v>7680.2203636363638</v>
      </c>
      <c r="U67">
        <v>549.36800000000005</v>
      </c>
      <c r="V67" s="25">
        <f>W73*X73/100</f>
        <v>1454.2372881355934</v>
      </c>
      <c r="W67">
        <v>3.9</v>
      </c>
      <c r="X67" s="31">
        <v>1958</v>
      </c>
      <c r="Y67">
        <v>76.189742326520161</v>
      </c>
      <c r="Z67" s="25">
        <f t="shared" si="3"/>
        <v>7.1530239236506754E-2</v>
      </c>
      <c r="AA67" s="25">
        <f t="shared" si="4"/>
        <v>5.2391547753667701E-2</v>
      </c>
      <c r="AB67" t="s">
        <v>72</v>
      </c>
    </row>
    <row r="68" spans="2:29" x14ac:dyDescent="0.25">
      <c r="F68" t="s">
        <v>499</v>
      </c>
      <c r="G68" s="31">
        <v>2055.9</v>
      </c>
      <c r="H68" s="31">
        <f t="shared" si="1"/>
        <v>3916</v>
      </c>
      <c r="J68" s="31">
        <v>1958</v>
      </c>
      <c r="S68" s="17" t="s">
        <v>81</v>
      </c>
      <c r="T68">
        <f>V69*10</f>
        <v>7514.0999999999995</v>
      </c>
      <c r="U68">
        <v>3400.83</v>
      </c>
      <c r="V68" s="25">
        <f>W68*X68/100</f>
        <v>768.0220363636364</v>
      </c>
      <c r="W68">
        <v>13</v>
      </c>
      <c r="X68" s="31">
        <v>5907.8618181818183</v>
      </c>
      <c r="Y68">
        <v>29.392596610169495</v>
      </c>
      <c r="Z68" s="25">
        <f t="shared" si="3"/>
        <v>0.45259312492514076</v>
      </c>
      <c r="AA68" s="25">
        <f t="shared" si="4"/>
        <v>3.8270512066730523E-2</v>
      </c>
      <c r="AB68" t="s">
        <v>73</v>
      </c>
    </row>
    <row r="69" spans="2:29" x14ac:dyDescent="0.25">
      <c r="F69" t="s">
        <v>71</v>
      </c>
      <c r="G69" s="31">
        <v>707.6</v>
      </c>
      <c r="H69" s="31">
        <f t="shared" si="1"/>
        <v>3538</v>
      </c>
      <c r="J69" s="31">
        <v>1769</v>
      </c>
      <c r="S69" s="17" t="s">
        <v>71</v>
      </c>
      <c r="T69">
        <f>V65*10</f>
        <v>4599.3999999999996</v>
      </c>
      <c r="U69">
        <v>707.6</v>
      </c>
      <c r="V69" s="25">
        <f>W74*X74/100</f>
        <v>751.41</v>
      </c>
      <c r="W69">
        <v>28</v>
      </c>
      <c r="X69" s="31">
        <v>5503.5</v>
      </c>
      <c r="Y69">
        <v>331.05479432107762</v>
      </c>
      <c r="Z69" s="25">
        <f t="shared" si="3"/>
        <v>0.15384615384615385</v>
      </c>
      <c r="AA69" s="25">
        <f t="shared" si="4"/>
        <v>0.44057810558959509</v>
      </c>
      <c r="AB69" t="s">
        <v>74</v>
      </c>
    </row>
    <row r="70" spans="2:29" x14ac:dyDescent="0.25">
      <c r="F70" t="s">
        <v>83</v>
      </c>
      <c r="G70" s="31">
        <v>1288</v>
      </c>
      <c r="H70" s="31">
        <f t="shared" si="1"/>
        <v>1610</v>
      </c>
      <c r="J70" s="31">
        <v>805</v>
      </c>
      <c r="S70" s="17" t="s">
        <v>84</v>
      </c>
      <c r="T70">
        <f t="shared" si="2"/>
        <v>1600</v>
      </c>
      <c r="U70">
        <v>2243.5</v>
      </c>
      <c r="V70" s="25">
        <v>160</v>
      </c>
      <c r="W70">
        <v>27</v>
      </c>
      <c r="X70" s="31">
        <v>144.4</v>
      </c>
      <c r="Y70">
        <v>89.107199999999992</v>
      </c>
      <c r="Z70" s="25">
        <f t="shared" si="3"/>
        <v>1.4021874999999999</v>
      </c>
      <c r="AA70" s="25">
        <f t="shared" si="4"/>
        <v>0.55691999999999997</v>
      </c>
      <c r="AB70" t="s">
        <v>75</v>
      </c>
    </row>
    <row r="71" spans="2:29" x14ac:dyDescent="0.25">
      <c r="B71" t="s">
        <v>89</v>
      </c>
      <c r="C71" s="31">
        <v>0</v>
      </c>
      <c r="D71" s="31">
        <v>125</v>
      </c>
      <c r="F71" t="s">
        <v>86</v>
      </c>
      <c r="G71" s="31">
        <v>601.20000000000005</v>
      </c>
      <c r="H71" s="31">
        <f t="shared" si="1"/>
        <v>1336</v>
      </c>
      <c r="J71" s="31">
        <v>668</v>
      </c>
      <c r="S71" s="17" t="s">
        <v>87</v>
      </c>
      <c r="T71">
        <f t="shared" si="2"/>
        <v>1540</v>
      </c>
      <c r="U71">
        <v>540.32000000000005</v>
      </c>
      <c r="V71" s="25">
        <v>154</v>
      </c>
      <c r="W71">
        <v>27</v>
      </c>
      <c r="X71" s="31">
        <v>141</v>
      </c>
      <c r="Y71">
        <v>448.91750400000001</v>
      </c>
      <c r="Z71" s="25">
        <f t="shared" si="3"/>
        <v>0.35085714285714287</v>
      </c>
      <c r="AA71" s="25">
        <f t="shared" si="4"/>
        <v>2.9150487272727275</v>
      </c>
      <c r="AB71" t="s">
        <v>76</v>
      </c>
    </row>
    <row r="72" spans="2:29" x14ac:dyDescent="0.25">
      <c r="B72" s="1" t="s">
        <v>90</v>
      </c>
      <c r="C72" s="31">
        <v>400</v>
      </c>
      <c r="D72" s="31">
        <v>500</v>
      </c>
      <c r="F72" t="s">
        <v>84</v>
      </c>
      <c r="G72" s="31">
        <v>2243.5</v>
      </c>
      <c r="H72" s="31">
        <f t="shared" si="1"/>
        <v>1282</v>
      </c>
      <c r="J72" s="31">
        <v>641</v>
      </c>
      <c r="S72" s="17" t="s">
        <v>72</v>
      </c>
      <c r="T72">
        <f t="shared" si="2"/>
        <v>1128.5999999999999</v>
      </c>
      <c r="U72">
        <v>158.84</v>
      </c>
      <c r="V72" s="25">
        <f>W65*X65/100</f>
        <v>112.86</v>
      </c>
      <c r="W72">
        <v>30</v>
      </c>
      <c r="X72" s="31">
        <v>8915</v>
      </c>
      <c r="Y72">
        <v>190.31216583941605</v>
      </c>
      <c r="Z72" s="25">
        <f t="shared" si="3"/>
        <v>0.14074074074074075</v>
      </c>
      <c r="AA72" s="25">
        <f t="shared" si="4"/>
        <v>1.6862676399026764</v>
      </c>
      <c r="AB72" t="s">
        <v>77</v>
      </c>
    </row>
    <row r="73" spans="2:29" x14ac:dyDescent="0.25">
      <c r="C73" s="31">
        <v>0</v>
      </c>
      <c r="D73" s="31">
        <v>0</v>
      </c>
      <c r="F73" t="s">
        <v>87</v>
      </c>
      <c r="G73" s="31">
        <v>540.32000000000005</v>
      </c>
      <c r="H73" s="31">
        <f t="shared" si="1"/>
        <v>1228</v>
      </c>
      <c r="J73" s="31">
        <v>614</v>
      </c>
      <c r="S73" s="17" t="s">
        <v>73</v>
      </c>
      <c r="T73">
        <f t="shared" si="2"/>
        <v>810</v>
      </c>
      <c r="U73">
        <v>147</v>
      </c>
      <c r="V73" s="25">
        <f>W66*X66/100</f>
        <v>81</v>
      </c>
      <c r="W73">
        <v>33</v>
      </c>
      <c r="X73" s="31">
        <v>4406.7796610169498</v>
      </c>
      <c r="Y73">
        <v>209.05920000000003</v>
      </c>
      <c r="Z73" s="25">
        <f t="shared" si="3"/>
        <v>0.18148148148148149</v>
      </c>
      <c r="AA73" s="25">
        <f t="shared" si="4"/>
        <v>2.580977777777778</v>
      </c>
      <c r="AB73" t="s">
        <v>78</v>
      </c>
    </row>
    <row r="74" spans="2:29" x14ac:dyDescent="0.25">
      <c r="C74" s="31">
        <v>0</v>
      </c>
      <c r="D74" s="31"/>
      <c r="F74" t="s">
        <v>72</v>
      </c>
      <c r="G74" s="31">
        <v>158.84</v>
      </c>
      <c r="H74" s="31">
        <f t="shared" si="1"/>
        <v>836</v>
      </c>
      <c r="J74" s="31">
        <v>418</v>
      </c>
      <c r="S74" s="17" t="s">
        <v>74</v>
      </c>
      <c r="T74">
        <f t="shared" si="2"/>
        <v>763.61999999999989</v>
      </c>
      <c r="U74">
        <v>2055.9</v>
      </c>
      <c r="V74" s="25">
        <f>W67*X67/100</f>
        <v>76.361999999999995</v>
      </c>
      <c r="W74">
        <v>33</v>
      </c>
      <c r="X74" s="31">
        <v>2277</v>
      </c>
      <c r="Y74">
        <v>486.6176649746194</v>
      </c>
      <c r="Z74" s="25">
        <f t="shared" si="3"/>
        <v>2.692307692307693</v>
      </c>
      <c r="AA74" s="25">
        <f t="shared" si="4"/>
        <v>6.3725107379929735</v>
      </c>
      <c r="AB74" t="s">
        <v>79</v>
      </c>
    </row>
    <row r="75" spans="2:29" x14ac:dyDescent="0.25">
      <c r="F75" t="s">
        <v>500</v>
      </c>
      <c r="G75" s="31">
        <v>348</v>
      </c>
      <c r="H75" s="31">
        <f t="shared" si="1"/>
        <v>800</v>
      </c>
      <c r="J75" s="31">
        <v>400</v>
      </c>
      <c r="S75" s="17" t="s">
        <v>77</v>
      </c>
      <c r="T75">
        <f t="shared" si="2"/>
        <v>389.88</v>
      </c>
      <c r="U75">
        <v>73.644000000000005</v>
      </c>
      <c r="V75" s="25">
        <f>W70*X70/100</f>
        <v>38.988</v>
      </c>
      <c r="W75">
        <v>33</v>
      </c>
      <c r="X75" s="31">
        <v>900</v>
      </c>
      <c r="Y75">
        <v>373.12960000000004</v>
      </c>
      <c r="Z75" s="25">
        <f t="shared" si="3"/>
        <v>0.18888888888888891</v>
      </c>
      <c r="AA75" s="25">
        <f t="shared" si="4"/>
        <v>9.5703703703703713</v>
      </c>
      <c r="AB75" t="s">
        <v>80</v>
      </c>
    </row>
    <row r="76" spans="2:29" x14ac:dyDescent="0.25">
      <c r="F76" t="s">
        <v>501</v>
      </c>
      <c r="G76" s="31">
        <f>SUM(C58:C59)</f>
        <v>145.554</v>
      </c>
      <c r="H76" s="31">
        <f t="shared" si="1"/>
        <v>570.79999999999995</v>
      </c>
      <c r="J76" s="31">
        <f>SUM(D58:D59)</f>
        <v>285.39999999999998</v>
      </c>
      <c r="S76" s="17" t="s">
        <v>78</v>
      </c>
      <c r="T76">
        <f t="shared" si="2"/>
        <v>380.7</v>
      </c>
      <c r="U76">
        <v>71.91</v>
      </c>
      <c r="V76" s="25">
        <f>W71*X71/100</f>
        <v>38.07</v>
      </c>
      <c r="W76">
        <v>33</v>
      </c>
      <c r="X76" s="31">
        <v>900</v>
      </c>
      <c r="Y76">
        <v>53.061120000000003</v>
      </c>
      <c r="Z76" s="25">
        <f t="shared" si="3"/>
        <v>0.18888888888888888</v>
      </c>
      <c r="AA76" s="25">
        <f t="shared" si="4"/>
        <v>1.3937777777777778</v>
      </c>
      <c r="AB76" t="s">
        <v>81</v>
      </c>
    </row>
    <row r="77" spans="2:29" x14ac:dyDescent="0.25">
      <c r="H77" s="31">
        <f t="shared" si="1"/>
        <v>0</v>
      </c>
      <c r="L77" s="17"/>
      <c r="T77">
        <f t="shared" si="2"/>
        <v>0</v>
      </c>
      <c r="Y77" s="31"/>
      <c r="Z77" s="25"/>
      <c r="AA77" s="25" t="e">
        <f t="shared" si="4"/>
        <v>#DIV/0!</v>
      </c>
      <c r="AB77" t="s">
        <v>84</v>
      </c>
    </row>
    <row r="78" spans="2:29" x14ac:dyDescent="0.25">
      <c r="F78" t="s">
        <v>98</v>
      </c>
      <c r="G78" s="31">
        <v>684</v>
      </c>
      <c r="H78" s="31">
        <f t="shared" si="1"/>
        <v>342</v>
      </c>
      <c r="J78" s="31">
        <v>171</v>
      </c>
      <c r="S78" s="17" t="s">
        <v>98</v>
      </c>
      <c r="T78">
        <f t="shared" si="2"/>
        <v>2239.938214481112</v>
      </c>
      <c r="U78">
        <v>395.01</v>
      </c>
      <c r="V78" s="25">
        <f>R94*S94/100</f>
        <v>223.99382144811119</v>
      </c>
      <c r="W78">
        <v>24.7</v>
      </c>
      <c r="X78" s="31">
        <v>522</v>
      </c>
      <c r="Y78">
        <v>200</v>
      </c>
      <c r="Z78" s="25">
        <f t="shared" si="3"/>
        <v>0.1763486141922469</v>
      </c>
      <c r="AA78" s="25">
        <f t="shared" si="4"/>
        <v>0.89288177105514743</v>
      </c>
      <c r="AB78" t="s">
        <v>85</v>
      </c>
      <c r="AC78">
        <v>422.68800000000005</v>
      </c>
    </row>
    <row r="79" spans="2:29" x14ac:dyDescent="0.25">
      <c r="F79" t="s">
        <v>97</v>
      </c>
      <c r="G79" s="31">
        <v>2088</v>
      </c>
      <c r="H79" s="31">
        <f t="shared" si="1"/>
        <v>1044</v>
      </c>
      <c r="J79" s="31">
        <v>522</v>
      </c>
      <c r="L79" s="17"/>
      <c r="S79" s="17" t="s">
        <v>97</v>
      </c>
      <c r="T79">
        <f t="shared" si="2"/>
        <v>1289.3399999999999</v>
      </c>
      <c r="U79">
        <v>1670.5</v>
      </c>
      <c r="V79" s="25">
        <f>W79*X79/100</f>
        <v>128.934</v>
      </c>
      <c r="W79">
        <v>24.7</v>
      </c>
      <c r="X79" s="31">
        <v>522</v>
      </c>
      <c r="Y79">
        <v>0</v>
      </c>
      <c r="Z79" s="25">
        <f t="shared" si="3"/>
        <v>1.2956241177656787</v>
      </c>
      <c r="AA79" s="25">
        <f t="shared" si="4"/>
        <v>0</v>
      </c>
      <c r="AB79" t="s">
        <v>87</v>
      </c>
    </row>
    <row r="80" spans="2:29" x14ac:dyDescent="0.25">
      <c r="F80" t="s">
        <v>96</v>
      </c>
      <c r="G80" s="31">
        <v>2156.92</v>
      </c>
      <c r="H80" s="31">
        <f t="shared" si="1"/>
        <v>1436.8</v>
      </c>
      <c r="J80" s="31">
        <v>718.4</v>
      </c>
      <c r="L80" s="17"/>
      <c r="S80" s="17" t="s">
        <v>96</v>
      </c>
      <c r="T80">
        <f t="shared" si="2"/>
        <v>1846.2879999999998</v>
      </c>
      <c r="U80">
        <v>2156.92</v>
      </c>
      <c r="V80" s="25">
        <f>W80*X80/100</f>
        <v>184.62879999999998</v>
      </c>
      <c r="W80">
        <v>25.7</v>
      </c>
      <c r="X80" s="31">
        <v>718.4</v>
      </c>
      <c r="Y80">
        <v>360.88416000000001</v>
      </c>
      <c r="Z80" s="25">
        <f t="shared" si="3"/>
        <v>1.1682467740677513</v>
      </c>
      <c r="AA80" s="25">
        <f t="shared" si="4"/>
        <v>1.9546471623062061</v>
      </c>
    </row>
    <row r="81" spans="2:28" x14ac:dyDescent="0.25">
      <c r="F81" t="s">
        <v>95</v>
      </c>
      <c r="G81" s="31">
        <v>4850.87</v>
      </c>
      <c r="H81" s="31">
        <f t="shared" si="1"/>
        <v>3386</v>
      </c>
      <c r="J81" s="31">
        <v>1693</v>
      </c>
      <c r="S81" s="17" t="s">
        <v>95</v>
      </c>
      <c r="T81">
        <f t="shared" si="2"/>
        <v>4520.3100000000004</v>
      </c>
      <c r="U81">
        <v>4850.87</v>
      </c>
      <c r="V81" s="25">
        <f>W81*X81/100</f>
        <v>452.03100000000001</v>
      </c>
      <c r="W81">
        <v>26.7</v>
      </c>
      <c r="X81" s="31">
        <v>1693</v>
      </c>
      <c r="Y81">
        <v>477.52320000000003</v>
      </c>
      <c r="Z81" s="25">
        <f t="shared" si="3"/>
        <v>1.0731277279655598</v>
      </c>
      <c r="AA81" s="25">
        <f t="shared" si="4"/>
        <v>1.056394804781088</v>
      </c>
      <c r="AB81" t="s">
        <v>91</v>
      </c>
    </row>
    <row r="82" spans="2:28" x14ac:dyDescent="0.25">
      <c r="F82" t="s">
        <v>502</v>
      </c>
      <c r="G82" s="31">
        <v>5074.5999999999995</v>
      </c>
      <c r="H82" s="31">
        <f t="shared" si="1"/>
        <v>682</v>
      </c>
      <c r="J82" s="31">
        <v>341</v>
      </c>
      <c r="L82" s="17"/>
      <c r="S82" s="17" t="s">
        <v>470</v>
      </c>
      <c r="T82">
        <f t="shared" si="2"/>
        <v>910.4699999999998</v>
      </c>
      <c r="U82">
        <v>5074.5999999999995</v>
      </c>
      <c r="V82" s="25">
        <f>W83*X83/100</f>
        <v>91.046999999999983</v>
      </c>
      <c r="W82">
        <v>23.7</v>
      </c>
      <c r="X82" s="31">
        <v>1559</v>
      </c>
      <c r="Y82">
        <v>1160.5984320000002</v>
      </c>
      <c r="Z82" s="25">
        <f t="shared" si="3"/>
        <v>5.5736048414555128</v>
      </c>
      <c r="AA82" s="25">
        <f t="shared" si="4"/>
        <v>12.747245181060336</v>
      </c>
      <c r="AB82" t="s">
        <v>92</v>
      </c>
    </row>
    <row r="83" spans="2:28" x14ac:dyDescent="0.25">
      <c r="B83" s="1"/>
      <c r="C83" s="31">
        <v>150</v>
      </c>
      <c r="F83" t="s">
        <v>94</v>
      </c>
      <c r="G83" s="31">
        <v>7066.3600000000006</v>
      </c>
      <c r="H83" s="31">
        <f t="shared" si="1"/>
        <v>3118</v>
      </c>
      <c r="J83" s="31">
        <v>1559</v>
      </c>
      <c r="L83" s="17"/>
      <c r="S83" s="17" t="s">
        <v>94</v>
      </c>
      <c r="T83">
        <f t="shared" si="2"/>
        <v>3694.8299999999995</v>
      </c>
      <c r="U83">
        <v>7066.3600000000006</v>
      </c>
      <c r="V83" s="25">
        <f>W82*X82/100</f>
        <v>369.48299999999995</v>
      </c>
      <c r="W83">
        <v>26.7</v>
      </c>
      <c r="X83" s="31">
        <v>341</v>
      </c>
      <c r="Y83">
        <v>387.604896</v>
      </c>
      <c r="Z83" s="25">
        <f t="shared" si="3"/>
        <v>1.9124993572099398</v>
      </c>
      <c r="AA83" s="25">
        <f t="shared" si="4"/>
        <v>1.0490466300208672</v>
      </c>
      <c r="AB83" t="s">
        <v>93</v>
      </c>
    </row>
    <row r="84" spans="2:28" x14ac:dyDescent="0.25">
      <c r="F84" t="s">
        <v>92</v>
      </c>
      <c r="G84" s="31">
        <v>14681.8</v>
      </c>
      <c r="H84" s="31">
        <f t="shared" si="1"/>
        <v>2284</v>
      </c>
      <c r="J84" s="31">
        <v>1142</v>
      </c>
      <c r="L84" s="65"/>
      <c r="S84" s="17" t="s">
        <v>92</v>
      </c>
      <c r="T84">
        <f t="shared" si="2"/>
        <v>2706.54</v>
      </c>
      <c r="U84">
        <v>14681.8</v>
      </c>
      <c r="V84" s="25">
        <f>W84*X84/100</f>
        <v>270.654</v>
      </c>
      <c r="W84">
        <v>23.7</v>
      </c>
      <c r="X84" s="31">
        <v>1142</v>
      </c>
      <c r="Y84">
        <v>790.23235200000022</v>
      </c>
      <c r="Z84" s="25">
        <f t="shared" si="3"/>
        <v>5.4245642037435244</v>
      </c>
      <c r="AA84" s="25">
        <f t="shared" si="4"/>
        <v>2.9197142920481509</v>
      </c>
      <c r="AB84" t="s">
        <v>94</v>
      </c>
    </row>
    <row r="85" spans="2:28" x14ac:dyDescent="0.25">
      <c r="F85" t="s">
        <v>91</v>
      </c>
      <c r="G85" s="31">
        <v>20038.46</v>
      </c>
      <c r="H85" s="31">
        <f t="shared" si="1"/>
        <v>3686</v>
      </c>
      <c r="J85" s="31">
        <v>1843</v>
      </c>
      <c r="L85" s="17"/>
      <c r="S85" s="17" t="s">
        <v>91</v>
      </c>
      <c r="T85">
        <f t="shared" si="2"/>
        <v>4146.75</v>
      </c>
      <c r="U85">
        <v>20038.46</v>
      </c>
      <c r="V85" s="25">
        <f>W85*X85/100</f>
        <v>414.67500000000001</v>
      </c>
      <c r="W85">
        <v>22.5</v>
      </c>
      <c r="X85" s="31">
        <v>1843</v>
      </c>
      <c r="Y85">
        <v>1093.7288593636363</v>
      </c>
      <c r="Z85" s="25">
        <f t="shared" si="3"/>
        <v>4.8323289322963765</v>
      </c>
      <c r="AA85" s="25">
        <f t="shared" si="4"/>
        <v>2.6375567838997678</v>
      </c>
      <c r="AB85" t="s">
        <v>95</v>
      </c>
    </row>
    <row r="86" spans="2:28" x14ac:dyDescent="0.25">
      <c r="L86" s="17"/>
      <c r="M86" t="s">
        <v>509</v>
      </c>
      <c r="AB86" t="s">
        <v>96</v>
      </c>
    </row>
    <row r="87" spans="2:28" x14ac:dyDescent="0.25">
      <c r="O87" t="s">
        <v>108</v>
      </c>
      <c r="P87" t="s">
        <v>14</v>
      </c>
      <c r="AB87" t="s">
        <v>97</v>
      </c>
    </row>
    <row r="88" spans="2:28" x14ac:dyDescent="0.25">
      <c r="G88" s="25">
        <v>3.4035144633431091</v>
      </c>
      <c r="H88" s="25" t="s">
        <v>93</v>
      </c>
      <c r="K88" s="25">
        <f t="shared" ref="K88:K102" si="5">M88/T88</f>
        <v>0.14975421118175264</v>
      </c>
      <c r="L88" t="s">
        <v>70</v>
      </c>
      <c r="M88">
        <f t="shared" ref="M88:M102" si="6">SUM(O88:Q88)</f>
        <v>1142.4000000000001</v>
      </c>
      <c r="N88">
        <f>P88*10</f>
        <v>0</v>
      </c>
      <c r="O88">
        <v>1142.4000000000001</v>
      </c>
      <c r="P88">
        <v>0</v>
      </c>
      <c r="R88" s="23">
        <f>O88</f>
        <v>1142.4000000000001</v>
      </c>
      <c r="T88">
        <v>7628.5</v>
      </c>
      <c r="U88" t="s">
        <v>70</v>
      </c>
      <c r="AB88" t="s">
        <v>98</v>
      </c>
    </row>
    <row r="89" spans="2:28" x14ac:dyDescent="0.25">
      <c r="G89" s="25">
        <v>1.0567200000000001</v>
      </c>
      <c r="H89" s="25" t="s">
        <v>511</v>
      </c>
      <c r="K89" s="25">
        <f t="shared" si="5"/>
        <v>0.1871423370950128</v>
      </c>
      <c r="L89" t="s">
        <v>71</v>
      </c>
      <c r="M89">
        <f t="shared" si="6"/>
        <v>331.05479432107762</v>
      </c>
      <c r="O89">
        <v>331.05479432107762</v>
      </c>
      <c r="P89">
        <v>0</v>
      </c>
      <c r="R89" s="23">
        <f t="shared" ref="R89:R121" si="7">O89+P89</f>
        <v>331.05479432107762</v>
      </c>
      <c r="T89">
        <v>1769</v>
      </c>
      <c r="U89" t="s">
        <v>71</v>
      </c>
    </row>
    <row r="90" spans="2:28" x14ac:dyDescent="0.25">
      <c r="G90" s="25">
        <v>0.69197228721541171</v>
      </c>
      <c r="H90" s="25" t="s">
        <v>92</v>
      </c>
      <c r="K90" s="25">
        <f t="shared" si="5"/>
        <v>0.45529226277372259</v>
      </c>
      <c r="L90" t="s">
        <v>72</v>
      </c>
      <c r="M90">
        <f t="shared" si="6"/>
        <v>190.31216583941605</v>
      </c>
      <c r="O90">
        <v>190.31216583941605</v>
      </c>
      <c r="P90">
        <v>0</v>
      </c>
      <c r="R90" s="23">
        <f t="shared" si="7"/>
        <v>190.31216583941605</v>
      </c>
      <c r="T90">
        <v>418</v>
      </c>
      <c r="U90" t="s">
        <v>72</v>
      </c>
    </row>
    <row r="91" spans="2:28" x14ac:dyDescent="0.25">
      <c r="G91" s="25">
        <v>0.6</v>
      </c>
      <c r="H91" s="25" t="s">
        <v>87</v>
      </c>
      <c r="K91" s="25">
        <f t="shared" si="5"/>
        <v>0.69686400000000015</v>
      </c>
      <c r="L91" t="s">
        <v>73</v>
      </c>
      <c r="M91">
        <f t="shared" si="6"/>
        <v>209.05920000000003</v>
      </c>
      <c r="O91">
        <v>209.05920000000003</v>
      </c>
      <c r="P91">
        <v>0</v>
      </c>
      <c r="R91" s="23">
        <f t="shared" si="7"/>
        <v>209.05920000000003</v>
      </c>
      <c r="T91">
        <v>300</v>
      </c>
      <c r="U91" t="s">
        <v>73</v>
      </c>
    </row>
    <row r="92" spans="2:28" x14ac:dyDescent="0.25">
      <c r="G92" s="25">
        <v>0.59345027637744774</v>
      </c>
      <c r="H92" s="25" t="s">
        <v>91</v>
      </c>
      <c r="K92" s="25">
        <f t="shared" si="5"/>
        <v>0.24852791878172595</v>
      </c>
      <c r="L92" t="s">
        <v>74</v>
      </c>
      <c r="M92">
        <f t="shared" si="6"/>
        <v>486.6176649746194</v>
      </c>
      <c r="O92">
        <v>486.6176649746194</v>
      </c>
      <c r="P92">
        <v>0</v>
      </c>
      <c r="R92" s="23">
        <f t="shared" si="7"/>
        <v>486.6176649746194</v>
      </c>
      <c r="T92">
        <v>1958</v>
      </c>
      <c r="U92" t="s">
        <v>74</v>
      </c>
    </row>
    <row r="93" spans="2:28" x14ac:dyDescent="0.25">
      <c r="G93" s="25">
        <v>0.50234432071269486</v>
      </c>
      <c r="H93" s="25" t="s">
        <v>96</v>
      </c>
      <c r="K93" s="25">
        <f t="shared" si="5"/>
        <v>1.2896331138287868E-2</v>
      </c>
      <c r="L93" t="s">
        <v>75</v>
      </c>
      <c r="M93">
        <f t="shared" si="6"/>
        <v>76.189742326520161</v>
      </c>
      <c r="O93">
        <v>76.189742326520161</v>
      </c>
      <c r="P93">
        <v>0</v>
      </c>
      <c r="R93" s="23">
        <f>O93+P93*0.67</f>
        <v>76.189742326520161</v>
      </c>
      <c r="T93">
        <v>5907.8618181818183</v>
      </c>
      <c r="U93" t="s">
        <v>75</v>
      </c>
    </row>
    <row r="94" spans="2:28" x14ac:dyDescent="0.25">
      <c r="G94" s="25">
        <v>0.38314176245210729</v>
      </c>
      <c r="H94" s="25" t="s">
        <v>98</v>
      </c>
      <c r="K94" s="25">
        <f t="shared" si="5"/>
        <v>1.9485252657399837E-2</v>
      </c>
      <c r="L94" t="s">
        <v>76</v>
      </c>
      <c r="M94">
        <f t="shared" si="6"/>
        <v>130.99053885854457</v>
      </c>
      <c r="O94">
        <v>130.99053885854457</v>
      </c>
      <c r="P94">
        <v>0</v>
      </c>
      <c r="R94" s="23">
        <f>O94-Q94+P94</f>
        <v>130.99053885854457</v>
      </c>
      <c r="S94" s="31">
        <v>171</v>
      </c>
      <c r="T94">
        <v>6722.5476190476193</v>
      </c>
      <c r="U94" t="s">
        <v>76</v>
      </c>
    </row>
    <row r="95" spans="2:28" x14ac:dyDescent="0.25">
      <c r="G95" s="25">
        <v>0.28999999999999998</v>
      </c>
      <c r="H95" s="25" t="s">
        <v>72</v>
      </c>
      <c r="K95" s="25">
        <f t="shared" si="5"/>
        <v>0.28570413476263401</v>
      </c>
      <c r="L95" t="s">
        <v>77</v>
      </c>
      <c r="M95">
        <f t="shared" si="6"/>
        <v>373.12960000000004</v>
      </c>
      <c r="O95">
        <v>335.81664000000006</v>
      </c>
      <c r="P95">
        <v>37.312959999999997</v>
      </c>
      <c r="R95" s="23">
        <f t="shared" si="7"/>
        <v>373.12960000000004</v>
      </c>
      <c r="T95">
        <v>1306</v>
      </c>
      <c r="U95" t="s">
        <v>77</v>
      </c>
    </row>
    <row r="96" spans="2:28" x14ac:dyDescent="0.25">
      <c r="G96" s="25">
        <v>0.28999999999999998</v>
      </c>
      <c r="H96" s="25" t="s">
        <v>77</v>
      </c>
      <c r="K96" s="25">
        <f t="shared" si="5"/>
        <v>0.39304533333333336</v>
      </c>
      <c r="L96" t="s">
        <v>78</v>
      </c>
      <c r="M96">
        <f t="shared" si="6"/>
        <v>53.061120000000003</v>
      </c>
      <c r="O96">
        <v>47.755008000000004</v>
      </c>
      <c r="P96">
        <v>5.3061119999999997</v>
      </c>
      <c r="R96" s="23">
        <f t="shared" si="7"/>
        <v>53.061120000000003</v>
      </c>
      <c r="T96">
        <v>135</v>
      </c>
      <c r="U96" t="s">
        <v>78</v>
      </c>
    </row>
    <row r="97" spans="5:23" x14ac:dyDescent="0.25">
      <c r="G97" s="25">
        <v>0.28205741287655051</v>
      </c>
      <c r="H97" s="25" t="s">
        <v>95</v>
      </c>
      <c r="K97" s="25">
        <f t="shared" si="5"/>
        <v>9.2493108433734941E-2</v>
      </c>
      <c r="L97" t="s">
        <v>79</v>
      </c>
      <c r="M97">
        <f t="shared" si="6"/>
        <v>824.57606168674704</v>
      </c>
      <c r="O97">
        <v>577.20324318072289</v>
      </c>
      <c r="P97">
        <v>247.37281850602417</v>
      </c>
      <c r="R97" s="23">
        <f t="shared" si="7"/>
        <v>824.57606168674704</v>
      </c>
      <c r="T97">
        <v>8915</v>
      </c>
      <c r="U97" t="s">
        <v>79</v>
      </c>
    </row>
    <row r="98" spans="5:23" x14ac:dyDescent="0.25">
      <c r="E98" t="s">
        <v>93</v>
      </c>
      <c r="F98" s="31">
        <v>1160.5984320000002</v>
      </c>
      <c r="G98" s="25">
        <v>0.27</v>
      </c>
      <c r="H98" s="25" t="s">
        <v>78</v>
      </c>
      <c r="K98" s="25">
        <f t="shared" si="5"/>
        <v>0.21617723076923079</v>
      </c>
      <c r="L98" t="s">
        <v>80</v>
      </c>
      <c r="M98">
        <f t="shared" si="6"/>
        <v>952.64542372881374</v>
      </c>
      <c r="O98">
        <v>952.64542372881374</v>
      </c>
      <c r="P98">
        <v>0</v>
      </c>
      <c r="R98" s="23">
        <f t="shared" si="7"/>
        <v>952.64542372881374</v>
      </c>
      <c r="T98">
        <v>4406.7796610169498</v>
      </c>
      <c r="U98" t="s">
        <v>80</v>
      </c>
    </row>
    <row r="99" spans="5:23" x14ac:dyDescent="0.25">
      <c r="E99" t="s">
        <v>70</v>
      </c>
      <c r="F99" s="31">
        <v>1142.4000000000001</v>
      </c>
      <c r="G99" s="25">
        <v>0.24862405131494547</v>
      </c>
      <c r="H99" s="25" t="s">
        <v>94</v>
      </c>
      <c r="K99" s="25">
        <f t="shared" si="5"/>
        <v>1.2908474576271188E-2</v>
      </c>
      <c r="L99" t="s">
        <v>81</v>
      </c>
      <c r="M99">
        <f t="shared" si="6"/>
        <v>29.392596610169495</v>
      </c>
      <c r="O99">
        <v>29.392596610169495</v>
      </c>
      <c r="P99">
        <v>0</v>
      </c>
      <c r="R99" s="23">
        <f t="shared" si="7"/>
        <v>29.392596610169495</v>
      </c>
      <c r="T99">
        <v>2277</v>
      </c>
      <c r="U99" t="s">
        <v>81</v>
      </c>
    </row>
    <row r="100" spans="5:23" x14ac:dyDescent="0.25">
      <c r="E100" t="s">
        <v>91</v>
      </c>
      <c r="F100" s="31">
        <v>1093.7288593636363</v>
      </c>
      <c r="G100" s="25">
        <v>0.24852791878172595</v>
      </c>
      <c r="H100" s="25" t="s">
        <v>74</v>
      </c>
      <c r="K100" s="25">
        <f t="shared" si="5"/>
        <v>0.13901279251170046</v>
      </c>
      <c r="L100" t="s">
        <v>84</v>
      </c>
      <c r="M100">
        <f t="shared" si="6"/>
        <v>89.107199999999992</v>
      </c>
      <c r="O100">
        <v>0</v>
      </c>
      <c r="P100">
        <v>89.107199999999992</v>
      </c>
      <c r="R100" s="23">
        <f t="shared" si="7"/>
        <v>89.107199999999992</v>
      </c>
      <c r="T100">
        <v>641</v>
      </c>
      <c r="U100" t="s">
        <v>84</v>
      </c>
      <c r="V100">
        <v>200</v>
      </c>
      <c r="W100" s="1" t="s">
        <v>82</v>
      </c>
    </row>
    <row r="101" spans="5:23" x14ac:dyDescent="0.25">
      <c r="E101" t="s">
        <v>80</v>
      </c>
      <c r="F101" s="31">
        <v>952.64542372881374</v>
      </c>
      <c r="G101" s="25">
        <v>0.21617723076923079</v>
      </c>
      <c r="H101" s="25" t="s">
        <v>80</v>
      </c>
      <c r="K101" s="25">
        <f t="shared" si="5"/>
        <v>1.0567200000000001</v>
      </c>
      <c r="L101" t="s">
        <v>85</v>
      </c>
      <c r="M101">
        <f t="shared" si="6"/>
        <v>422.68800000000005</v>
      </c>
      <c r="O101">
        <v>0</v>
      </c>
      <c r="P101">
        <v>422.68800000000005</v>
      </c>
      <c r="R101" s="23"/>
      <c r="T101">
        <v>400</v>
      </c>
      <c r="U101" t="s">
        <v>85</v>
      </c>
    </row>
    <row r="102" spans="5:23" x14ac:dyDescent="0.25">
      <c r="E102" t="s">
        <v>79</v>
      </c>
      <c r="F102" s="31">
        <v>824.57606168674704</v>
      </c>
      <c r="G102" s="25">
        <v>0.1871423370950128</v>
      </c>
      <c r="H102" s="25" t="s">
        <v>71</v>
      </c>
      <c r="K102" s="25">
        <f t="shared" si="5"/>
        <v>0.73113600000000001</v>
      </c>
      <c r="L102" t="s">
        <v>87</v>
      </c>
      <c r="M102">
        <f t="shared" si="6"/>
        <v>448.91750400000001</v>
      </c>
      <c r="O102">
        <v>269.35050239999998</v>
      </c>
      <c r="P102">
        <v>179.56700160000005</v>
      </c>
      <c r="R102" s="23">
        <f>P102-Q102</f>
        <v>179.56700160000005</v>
      </c>
      <c r="T102">
        <v>614</v>
      </c>
      <c r="U102" t="s">
        <v>508</v>
      </c>
    </row>
    <row r="103" spans="5:23" x14ac:dyDescent="0.25">
      <c r="E103" t="s">
        <v>92</v>
      </c>
      <c r="F103" s="31">
        <v>790.23235200000022</v>
      </c>
      <c r="G103" s="25">
        <v>0.14975421118175264</v>
      </c>
      <c r="H103" s="25" t="s">
        <v>70</v>
      </c>
      <c r="R103" s="23">
        <f t="shared" si="7"/>
        <v>0</v>
      </c>
      <c r="V103">
        <v>805</v>
      </c>
      <c r="W103" t="s">
        <v>83</v>
      </c>
    </row>
    <row r="104" spans="5:23" x14ac:dyDescent="0.25">
      <c r="E104" t="s">
        <v>499</v>
      </c>
      <c r="F104" s="31">
        <v>486.6176649746194</v>
      </c>
      <c r="G104" s="25">
        <v>0.13901279251170046</v>
      </c>
      <c r="H104" s="25" t="s">
        <v>84</v>
      </c>
      <c r="K104" s="25">
        <f t="shared" ref="K104:K110" si="8">M104/T104</f>
        <v>0.59345027637744774</v>
      </c>
      <c r="L104" t="s">
        <v>91</v>
      </c>
      <c r="M104">
        <f t="shared" ref="M104:M109" si="9">SUM(O104:Q104)</f>
        <v>1093.7288593636363</v>
      </c>
      <c r="O104">
        <v>183.423744</v>
      </c>
      <c r="P104">
        <v>0</v>
      </c>
      <c r="Q104">
        <v>910.30511536363633</v>
      </c>
      <c r="R104" s="23">
        <f t="shared" si="7"/>
        <v>183.423744</v>
      </c>
      <c r="T104">
        <v>1843</v>
      </c>
      <c r="U104" t="s">
        <v>91</v>
      </c>
    </row>
    <row r="105" spans="5:23" x14ac:dyDescent="0.25">
      <c r="E105" t="s">
        <v>95</v>
      </c>
      <c r="F105" s="31">
        <v>477.52320000000003</v>
      </c>
      <c r="G105" s="25">
        <v>9.2493108433734941E-2</v>
      </c>
      <c r="H105" s="25" t="s">
        <v>79</v>
      </c>
      <c r="K105" s="25">
        <f t="shared" si="8"/>
        <v>0.69197228721541171</v>
      </c>
      <c r="L105" t="s">
        <v>92</v>
      </c>
      <c r="M105">
        <f t="shared" si="9"/>
        <v>790.23235200000022</v>
      </c>
      <c r="O105">
        <v>66.533376000000018</v>
      </c>
      <c r="P105">
        <v>0</v>
      </c>
      <c r="Q105">
        <v>723.69897600000024</v>
      </c>
      <c r="R105" s="23">
        <v>668</v>
      </c>
      <c r="T105">
        <v>1142</v>
      </c>
      <c r="U105" t="s">
        <v>92</v>
      </c>
      <c r="V105">
        <v>668</v>
      </c>
      <c r="W105" t="s">
        <v>86</v>
      </c>
    </row>
    <row r="106" spans="5:23" x14ac:dyDescent="0.25">
      <c r="E106" t="s">
        <v>467</v>
      </c>
      <c r="F106" s="31">
        <v>426</v>
      </c>
      <c r="G106" s="25">
        <v>1.9485252657399837E-2</v>
      </c>
      <c r="H106" s="25" t="s">
        <v>76</v>
      </c>
      <c r="K106" s="25">
        <f t="shared" si="8"/>
        <v>3.4035144633431091</v>
      </c>
      <c r="L106" t="s">
        <v>93</v>
      </c>
      <c r="M106">
        <f t="shared" si="9"/>
        <v>1160.5984320000002</v>
      </c>
      <c r="O106">
        <v>13.891584000000003</v>
      </c>
      <c r="P106">
        <v>0</v>
      </c>
      <c r="Q106">
        <v>1146.7068480000003</v>
      </c>
      <c r="R106" s="23">
        <f t="shared" si="7"/>
        <v>13.891584000000003</v>
      </c>
      <c r="T106">
        <v>341</v>
      </c>
      <c r="U106" t="s">
        <v>93</v>
      </c>
    </row>
    <row r="107" spans="5:23" x14ac:dyDescent="0.25">
      <c r="E107" t="s">
        <v>508</v>
      </c>
      <c r="F107" s="31">
        <v>448.91750400000001</v>
      </c>
      <c r="G107" s="25">
        <v>1.2908474576271188E-2</v>
      </c>
      <c r="H107" s="25" t="s">
        <v>81</v>
      </c>
      <c r="K107" s="25">
        <f t="shared" si="8"/>
        <v>0.24862405131494547</v>
      </c>
      <c r="L107" t="s">
        <v>94</v>
      </c>
      <c r="M107">
        <f t="shared" si="9"/>
        <v>387.604896</v>
      </c>
      <c r="O107">
        <v>387.604896</v>
      </c>
      <c r="P107">
        <v>0</v>
      </c>
      <c r="Q107">
        <v>0</v>
      </c>
      <c r="R107" s="23">
        <f>P107-Q107</f>
        <v>0</v>
      </c>
      <c r="T107">
        <v>1559</v>
      </c>
      <c r="U107" t="s">
        <v>94</v>
      </c>
      <c r="V107">
        <v>7678.8</v>
      </c>
      <c r="W107" t="s">
        <v>88</v>
      </c>
    </row>
    <row r="108" spans="5:23" x14ac:dyDescent="0.25">
      <c r="E108" t="s">
        <v>94</v>
      </c>
      <c r="F108" s="31">
        <v>387.604896</v>
      </c>
      <c r="G108" s="25">
        <v>1.2896331138287868E-2</v>
      </c>
      <c r="H108" s="25" t="s">
        <v>75</v>
      </c>
      <c r="K108" s="25">
        <f t="shared" si="8"/>
        <v>0.28205741287655051</v>
      </c>
      <c r="L108" t="s">
        <v>95</v>
      </c>
      <c r="M108">
        <f t="shared" si="9"/>
        <v>477.52320000000003</v>
      </c>
      <c r="O108">
        <v>477.52320000000003</v>
      </c>
      <c r="P108">
        <v>0</v>
      </c>
      <c r="Q108">
        <v>0</v>
      </c>
      <c r="R108" s="23">
        <f t="shared" si="7"/>
        <v>477.52320000000003</v>
      </c>
      <c r="T108">
        <v>1693</v>
      </c>
      <c r="U108" t="s">
        <v>95</v>
      </c>
      <c r="V108">
        <v>125</v>
      </c>
      <c r="W108" t="s">
        <v>89</v>
      </c>
    </row>
    <row r="109" spans="5:23" x14ac:dyDescent="0.25">
      <c r="E109" t="s">
        <v>96</v>
      </c>
      <c r="F109" s="31">
        <v>360.88416000000001</v>
      </c>
      <c r="K109" s="25">
        <f t="shared" si="8"/>
        <v>0.50234432071269486</v>
      </c>
      <c r="L109" t="s">
        <v>96</v>
      </c>
      <c r="M109">
        <f t="shared" si="9"/>
        <v>360.88416000000001</v>
      </c>
      <c r="O109">
        <v>360.88416000000001</v>
      </c>
      <c r="P109">
        <v>0</v>
      </c>
      <c r="Q109">
        <v>0</v>
      </c>
      <c r="R109" s="23">
        <f t="shared" si="7"/>
        <v>360.88416000000001</v>
      </c>
      <c r="T109">
        <v>718.4</v>
      </c>
      <c r="U109" t="s">
        <v>96</v>
      </c>
      <c r="V109">
        <v>500</v>
      </c>
      <c r="W109" s="1" t="s">
        <v>90</v>
      </c>
    </row>
    <row r="110" spans="5:23" x14ac:dyDescent="0.25">
      <c r="E110" t="s">
        <v>71</v>
      </c>
      <c r="F110" s="31">
        <v>331.05479432107762</v>
      </c>
      <c r="K110" s="25">
        <f t="shared" si="8"/>
        <v>0.38314176245210729</v>
      </c>
      <c r="L110" t="s">
        <v>98</v>
      </c>
      <c r="M110">
        <f>SUM(O111:Q111)</f>
        <v>200</v>
      </c>
      <c r="O110">
        <v>0</v>
      </c>
      <c r="P110">
        <v>0</v>
      </c>
      <c r="Q110">
        <v>0</v>
      </c>
      <c r="R110" s="23">
        <f t="shared" si="7"/>
        <v>0</v>
      </c>
      <c r="T110">
        <v>522</v>
      </c>
      <c r="U110" t="s">
        <v>97</v>
      </c>
      <c r="V110">
        <v>0</v>
      </c>
    </row>
    <row r="111" spans="5:23" x14ac:dyDescent="0.25">
      <c r="E111" t="s">
        <v>73</v>
      </c>
      <c r="F111" s="31">
        <v>209.05920000000003</v>
      </c>
      <c r="O111">
        <v>200</v>
      </c>
      <c r="P111">
        <v>0</v>
      </c>
      <c r="Q111">
        <v>0</v>
      </c>
    </row>
    <row r="112" spans="5:23" x14ac:dyDescent="0.25">
      <c r="E112" t="s">
        <v>98</v>
      </c>
      <c r="F112" s="31">
        <v>200</v>
      </c>
      <c r="R112" s="23">
        <f>O112+P112</f>
        <v>0</v>
      </c>
    </row>
    <row r="113" spans="5:21" x14ac:dyDescent="0.25">
      <c r="E113" t="s">
        <v>72</v>
      </c>
      <c r="F113" s="31">
        <v>190.31216583941605</v>
      </c>
      <c r="R113" s="23">
        <f t="shared" si="7"/>
        <v>0</v>
      </c>
    </row>
    <row r="114" spans="5:21" x14ac:dyDescent="0.25">
      <c r="E114" t="s">
        <v>76</v>
      </c>
      <c r="F114" s="31">
        <v>130.99053885854457</v>
      </c>
      <c r="R114" s="23">
        <f t="shared" si="7"/>
        <v>0</v>
      </c>
    </row>
    <row r="115" spans="5:21" x14ac:dyDescent="0.25">
      <c r="E115" t="s">
        <v>84</v>
      </c>
      <c r="F115" s="31">
        <v>89.107199999999992</v>
      </c>
      <c r="R115" s="23">
        <f t="shared" si="7"/>
        <v>0</v>
      </c>
    </row>
    <row r="116" spans="5:21" x14ac:dyDescent="0.25">
      <c r="E116" t="s">
        <v>75</v>
      </c>
      <c r="F116" s="31">
        <v>76.189742326520161</v>
      </c>
      <c r="R116" s="23">
        <f t="shared" si="7"/>
        <v>0</v>
      </c>
    </row>
    <row r="117" spans="5:21" x14ac:dyDescent="0.25">
      <c r="E117" t="s">
        <v>81</v>
      </c>
      <c r="F117" s="31">
        <v>29.392596610169495</v>
      </c>
      <c r="R117" s="23">
        <f t="shared" si="7"/>
        <v>0</v>
      </c>
    </row>
    <row r="118" spans="5:21" x14ac:dyDescent="0.25">
      <c r="F118" s="31"/>
      <c r="R118" s="23">
        <f t="shared" si="7"/>
        <v>0</v>
      </c>
    </row>
    <row r="119" spans="5:21" x14ac:dyDescent="0.25">
      <c r="R119" s="23">
        <f t="shared" si="7"/>
        <v>0</v>
      </c>
      <c r="T119">
        <v>171</v>
      </c>
      <c r="U119" t="s">
        <v>98</v>
      </c>
    </row>
    <row r="120" spans="5:21" x14ac:dyDescent="0.25">
      <c r="F120" s="31"/>
      <c r="R120" s="23">
        <f t="shared" si="7"/>
        <v>0</v>
      </c>
      <c r="T120">
        <v>100</v>
      </c>
      <c r="U120" s="1" t="s">
        <v>99</v>
      </c>
    </row>
    <row r="121" spans="5:21" x14ac:dyDescent="0.25">
      <c r="R121" s="23">
        <f t="shared" si="7"/>
        <v>0</v>
      </c>
      <c r="T121">
        <v>0</v>
      </c>
      <c r="U121" s="1" t="s">
        <v>100</v>
      </c>
    </row>
    <row r="122" spans="5:21" x14ac:dyDescent="0.25">
      <c r="F122" s="31"/>
    </row>
  </sheetData>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LAND USE</vt:lpstr>
      <vt:lpstr>NOTES</vt:lpstr>
      <vt:lpstr>TABLES AND GRAPHS</vt:lpstr>
      <vt:lpstr>BIOMASSAREA</vt:lpstr>
      <vt:lpstr>CONSTOT</vt:lpstr>
      <vt:lpstr>RDCTOT</vt:lpstr>
      <vt:lpstr>SCENARIOPOP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Harper</dc:creator>
  <cp:lastModifiedBy>Peter Harper</cp:lastModifiedBy>
  <dcterms:created xsi:type="dcterms:W3CDTF">2013-03-06T08:45:45Z</dcterms:created>
  <dcterms:modified xsi:type="dcterms:W3CDTF">2018-03-02T12:17:26Z</dcterms:modified>
</cp:coreProperties>
</file>